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0" yWindow="240" windowWidth="14130" windowHeight="12240"/>
  </bookViews>
  <sheets>
    <sheet name="64 Att1Ua" sheetId="13" r:id="rId1"/>
    <sheet name="64 Att1Ub" sheetId="21" r:id="rId2"/>
  </sheets>
  <definedNames>
    <definedName name="_xlnm.Print_Area" localSheetId="1">'64 Att1Ub'!$B$1:$F$275</definedName>
  </definedNames>
  <calcPr calcId="145621"/>
</workbook>
</file>

<file path=xl/calcChain.xml><?xml version="1.0" encoding="utf-8"?>
<calcChain xmlns="http://schemas.openxmlformats.org/spreadsheetml/2006/main">
  <c r="C215" i="21" l="1"/>
  <c r="E176" i="13" l="1"/>
  <c r="E183" i="13"/>
  <c r="C183" i="13"/>
  <c r="C176" i="13"/>
  <c r="D216" i="21" l="1"/>
  <c r="D217" i="21"/>
  <c r="D218" i="21"/>
  <c r="D215" i="21"/>
  <c r="A216" i="21"/>
  <c r="C216" i="21"/>
  <c r="C217" i="21"/>
  <c r="C218" i="21"/>
  <c r="F9" i="13" l="1"/>
  <c r="F16" i="13"/>
  <c r="F17" i="13"/>
  <c r="F23" i="13"/>
  <c r="F22" i="13"/>
  <c r="F148" i="13"/>
  <c r="F141" i="13"/>
  <c r="F135" i="13"/>
  <c r="F134" i="13"/>
  <c r="F133" i="13"/>
  <c r="F125" i="13"/>
  <c r="F117" i="13"/>
  <c r="F110" i="13"/>
  <c r="C211" i="21" l="1"/>
  <c r="C72" i="21"/>
  <c r="C59" i="21"/>
  <c r="F34" i="13" l="1"/>
  <c r="C242" i="21" l="1"/>
  <c r="C225" i="21"/>
  <c r="C126" i="21"/>
  <c r="D270" i="21" l="1"/>
  <c r="D257" i="21"/>
  <c r="D244" i="21"/>
  <c r="D227" i="21"/>
  <c r="D213" i="21"/>
  <c r="D198" i="21"/>
  <c r="D185" i="21"/>
  <c r="D172" i="21"/>
  <c r="D157" i="21"/>
  <c r="D143" i="21"/>
  <c r="D128" i="21"/>
  <c r="D115" i="21"/>
  <c r="D102" i="21"/>
  <c r="D87" i="21"/>
  <c r="D74" i="21"/>
  <c r="D61" i="21"/>
  <c r="D47" i="21"/>
  <c r="D34" i="21"/>
  <c r="D21" i="21"/>
  <c r="C133" i="21"/>
  <c r="C132" i="21"/>
  <c r="C131" i="21"/>
  <c r="C130" i="21"/>
  <c r="C120" i="21"/>
  <c r="C119" i="21"/>
  <c r="C118" i="21"/>
  <c r="C117" i="21"/>
  <c r="C107" i="21"/>
  <c r="C106" i="21"/>
  <c r="C105" i="21"/>
  <c r="C104" i="21"/>
  <c r="D14" i="21"/>
  <c r="D13" i="21"/>
  <c r="D12" i="21"/>
  <c r="D11" i="21"/>
  <c r="D10" i="21"/>
  <c r="C11" i="21"/>
  <c r="C12" i="21"/>
  <c r="C10" i="21"/>
  <c r="C170" i="21"/>
  <c r="C141" i="21"/>
  <c r="C155" i="21" s="1"/>
  <c r="C113" i="21"/>
  <c r="C100" i="21"/>
  <c r="C85" i="21"/>
  <c r="C67" i="21"/>
  <c r="C66" i="21"/>
  <c r="C65" i="21"/>
  <c r="C64" i="21"/>
  <c r="C63" i="21"/>
  <c r="C53" i="21"/>
  <c r="C52" i="21"/>
  <c r="C51" i="21"/>
  <c r="C50" i="21"/>
  <c r="C49" i="21"/>
  <c r="C45" i="21"/>
  <c r="C40" i="21"/>
  <c r="C39" i="21"/>
  <c r="C38" i="21"/>
  <c r="C37" i="21"/>
  <c r="C36" i="21"/>
  <c r="C27" i="21"/>
  <c r="C26" i="21"/>
  <c r="C25" i="21"/>
  <c r="C24" i="21"/>
  <c r="C23" i="21"/>
  <c r="C14" i="21"/>
  <c r="C13" i="21"/>
  <c r="C270" i="21"/>
  <c r="B262" i="21"/>
  <c r="A262" i="21" s="1"/>
  <c r="B261" i="21"/>
  <c r="B274" i="21" s="1"/>
  <c r="A274" i="21" s="1"/>
  <c r="B260" i="21"/>
  <c r="A260" i="21" s="1"/>
  <c r="B259" i="21"/>
  <c r="B272" i="21" s="1"/>
  <c r="A272" i="21" s="1"/>
  <c r="C257" i="21"/>
  <c r="A249" i="21"/>
  <c r="C249" i="21" s="1"/>
  <c r="A248" i="21"/>
  <c r="C248" i="21" s="1"/>
  <c r="A247" i="21"/>
  <c r="C247" i="21" s="1"/>
  <c r="A246" i="21"/>
  <c r="C246" i="21" s="1"/>
  <c r="C244" i="21"/>
  <c r="B232" i="21"/>
  <c r="A232" i="21" s="1"/>
  <c r="B231" i="21"/>
  <c r="A231" i="21" s="1"/>
  <c r="C231" i="21" s="1"/>
  <c r="B230" i="21"/>
  <c r="A230" i="21" s="1"/>
  <c r="C230" i="21" s="1"/>
  <c r="B229" i="21"/>
  <c r="A229" i="21" s="1"/>
  <c r="C229" i="21" s="1"/>
  <c r="C227" i="21"/>
  <c r="A218" i="21"/>
  <c r="A217" i="21"/>
  <c r="A215" i="21"/>
  <c r="C213" i="21"/>
  <c r="A203" i="21"/>
  <c r="D203" i="21" s="1"/>
  <c r="A202" i="21"/>
  <c r="D202" i="21" s="1"/>
  <c r="A201" i="21"/>
  <c r="D201" i="21" s="1"/>
  <c r="A200" i="21"/>
  <c r="D200" i="21" s="1"/>
  <c r="C198" i="21"/>
  <c r="A190" i="21"/>
  <c r="C190" i="21" s="1"/>
  <c r="A189" i="21"/>
  <c r="A188" i="21"/>
  <c r="C188" i="21" s="1"/>
  <c r="A187" i="21"/>
  <c r="C185" i="21"/>
  <c r="A177" i="21"/>
  <c r="C177" i="21" s="1"/>
  <c r="A176" i="21"/>
  <c r="C176" i="21" s="1"/>
  <c r="A175" i="21"/>
  <c r="C175" i="21" s="1"/>
  <c r="A174" i="21"/>
  <c r="C174" i="21" s="1"/>
  <c r="C172" i="21"/>
  <c r="A162" i="21"/>
  <c r="C162" i="21" s="1"/>
  <c r="A161" i="21"/>
  <c r="C161" i="21" s="1"/>
  <c r="A160" i="21"/>
  <c r="A159" i="21"/>
  <c r="C159" i="21" s="1"/>
  <c r="C157" i="21"/>
  <c r="A148" i="21"/>
  <c r="C148" i="21" s="1"/>
  <c r="A147" i="21"/>
  <c r="C147" i="21" s="1"/>
  <c r="A146" i="21"/>
  <c r="C146" i="21" s="1"/>
  <c r="A145" i="21"/>
  <c r="C145" i="21" s="1"/>
  <c r="C143" i="21"/>
  <c r="C128" i="21"/>
  <c r="C115" i="21"/>
  <c r="C102" i="21"/>
  <c r="A92" i="21"/>
  <c r="A91" i="21"/>
  <c r="C91" i="21" s="1"/>
  <c r="A90" i="21"/>
  <c r="A89" i="21"/>
  <c r="C89" i="21" s="1"/>
  <c r="C87" i="21"/>
  <c r="A79" i="21"/>
  <c r="C79" i="21" s="1"/>
  <c r="A78" i="21"/>
  <c r="C78" i="21" s="1"/>
  <c r="A77" i="21"/>
  <c r="C77" i="21" s="1"/>
  <c r="A76" i="21"/>
  <c r="C76" i="21" s="1"/>
  <c r="C74" i="21"/>
  <c r="C61" i="21"/>
  <c r="C47" i="21"/>
  <c r="C34" i="21"/>
  <c r="C21" i="21"/>
  <c r="A261" i="21" l="1"/>
  <c r="C261" i="21" s="1"/>
  <c r="C272" i="21"/>
  <c r="C203" i="21"/>
  <c r="E203" i="21" s="1"/>
  <c r="F203" i="21" s="1"/>
  <c r="A259" i="21"/>
  <c r="C259" i="21" s="1"/>
  <c r="C92" i="21"/>
  <c r="E11" i="21"/>
  <c r="F11" i="21" s="1"/>
  <c r="C160" i="21"/>
  <c r="C187" i="21"/>
  <c r="C260" i="21"/>
  <c r="C232" i="21"/>
  <c r="C274" i="21"/>
  <c r="C262" i="21"/>
  <c r="B275" i="21"/>
  <c r="A275" i="21" s="1"/>
  <c r="C200" i="21"/>
  <c r="E200" i="21" s="1"/>
  <c r="F200" i="21" s="1"/>
  <c r="E12" i="21"/>
  <c r="F12" i="21" s="1"/>
  <c r="C201" i="21"/>
  <c r="E201" i="21" s="1"/>
  <c r="F201" i="21" s="1"/>
  <c r="C189" i="21"/>
  <c r="C90" i="21"/>
  <c r="B273" i="21"/>
  <c r="A273" i="21" s="1"/>
  <c r="C202" i="21"/>
  <c r="E202" i="21" s="1"/>
  <c r="F202" i="21" s="1"/>
  <c r="E14" i="21"/>
  <c r="F14" i="21" s="1"/>
  <c r="E10" i="21"/>
  <c r="F10" i="21" s="1"/>
  <c r="E13" i="21"/>
  <c r="F13" i="21" s="1"/>
  <c r="C273" i="21" l="1"/>
  <c r="C275" i="21"/>
  <c r="D52" i="21" l="1"/>
  <c r="E52" i="21" s="1"/>
  <c r="F52" i="21" s="1"/>
  <c r="D51" i="21"/>
  <c r="E51" i="21" s="1"/>
  <c r="F51" i="21" s="1"/>
  <c r="D50" i="21"/>
  <c r="E50" i="21" s="1"/>
  <c r="F50" i="21" s="1"/>
  <c r="D49" i="21"/>
  <c r="E49" i="21" s="1"/>
  <c r="F49" i="21" s="1"/>
  <c r="D53" i="21"/>
  <c r="E53" i="21" s="1"/>
  <c r="F53" i="21" s="1"/>
  <c r="D66" i="21"/>
  <c r="D65" i="21"/>
  <c r="D64" i="21"/>
  <c r="D63" i="21"/>
  <c r="D27" i="21"/>
  <c r="E27" i="21" s="1"/>
  <c r="F27" i="21" s="1"/>
  <c r="D23" i="21"/>
  <c r="E23" i="21" s="1"/>
  <c r="F23" i="21" s="1"/>
  <c r="D26" i="21"/>
  <c r="E26" i="21" s="1"/>
  <c r="F26" i="21" s="1"/>
  <c r="D25" i="21"/>
  <c r="E25" i="21" s="1"/>
  <c r="F25" i="21" s="1"/>
  <c r="D24" i="21"/>
  <c r="E24" i="21" s="1"/>
  <c r="F24" i="21" s="1"/>
  <c r="D175" i="21"/>
  <c r="E175" i="21" s="1"/>
  <c r="F175" i="21" s="1"/>
  <c r="D174" i="21"/>
  <c r="E174" i="21" s="1"/>
  <c r="F174" i="21" s="1"/>
  <c r="D177" i="21"/>
  <c r="E177" i="21" s="1"/>
  <c r="F177" i="21" s="1"/>
  <c r="D176" i="21"/>
  <c r="E176" i="21" s="1"/>
  <c r="F176" i="21" s="1"/>
  <c r="D260" i="21"/>
  <c r="E260" i="21" s="1"/>
  <c r="F260" i="21" s="1"/>
  <c r="D190" i="21"/>
  <c r="E190" i="21" s="1"/>
  <c r="F190" i="21" s="1"/>
  <c r="D189" i="21"/>
  <c r="E189" i="21" s="1"/>
  <c r="F189" i="21" s="1"/>
  <c r="D188" i="21"/>
  <c r="E188" i="21" s="1"/>
  <c r="F188" i="21" s="1"/>
  <c r="D187" i="21"/>
  <c r="E187" i="21" s="1"/>
  <c r="F187" i="21" s="1"/>
  <c r="D67" i="21"/>
  <c r="D249" i="21"/>
  <c r="E249" i="21" s="1"/>
  <c r="F249" i="21" s="1"/>
  <c r="D262" i="21" l="1"/>
  <c r="E262" i="21" s="1"/>
  <c r="F262" i="21" s="1"/>
  <c r="D247" i="21"/>
  <c r="E247" i="21" s="1"/>
  <c r="F247" i="21" s="1"/>
  <c r="D259" i="21"/>
  <c r="E259" i="21" s="1"/>
  <c r="F259" i="21" s="1"/>
  <c r="E65" i="21"/>
  <c r="F65" i="21" s="1"/>
  <c r="D248" i="21"/>
  <c r="E248" i="21" s="1"/>
  <c r="F248" i="21" s="1"/>
  <c r="D246" i="21"/>
  <c r="E246" i="21" s="1"/>
  <c r="F246" i="21" s="1"/>
  <c r="E64" i="21"/>
  <c r="F64" i="21" s="1"/>
  <c r="D261" i="21"/>
  <c r="E261" i="21" s="1"/>
  <c r="F261" i="21" s="1"/>
  <c r="E66" i="21"/>
  <c r="F66" i="21" s="1"/>
  <c r="E67" i="21"/>
  <c r="F67" i="21" s="1"/>
  <c r="E63" i="21"/>
  <c r="F63" i="21" s="1"/>
  <c r="D274" i="21"/>
  <c r="E274" i="21" s="1"/>
  <c r="F274" i="21" s="1"/>
  <c r="D273" i="21"/>
  <c r="E273" i="21" s="1"/>
  <c r="F273" i="21" s="1"/>
  <c r="D272" i="21"/>
  <c r="E272" i="21" s="1"/>
  <c r="F272" i="21" s="1"/>
  <c r="D275" i="21"/>
  <c r="E275" i="21" s="1"/>
  <c r="F275" i="21" s="1"/>
  <c r="F169" i="13" l="1"/>
  <c r="F112" i="13"/>
  <c r="F111" i="13"/>
  <c r="F91" i="13"/>
  <c r="F85" i="13"/>
  <c r="F47" i="13"/>
  <c r="F177" i="13"/>
  <c r="D177" i="13"/>
  <c r="F184" i="13"/>
  <c r="F182" i="13"/>
  <c r="F175" i="13"/>
  <c r="F170" i="13"/>
  <c r="F162" i="13"/>
  <c r="F156" i="13"/>
  <c r="F119" i="13"/>
  <c r="F118" i="13"/>
  <c r="F95" i="13"/>
  <c r="F46" i="13"/>
  <c r="F36" i="13"/>
  <c r="D184" i="13"/>
  <c r="D182" i="13"/>
  <c r="D175" i="13"/>
  <c r="D170" i="13"/>
  <c r="D169" i="13"/>
  <c r="D167" i="13"/>
  <c r="D161" i="13"/>
  <c r="D162" i="13"/>
  <c r="D156" i="13"/>
  <c r="D155" i="13"/>
  <c r="D119" i="13"/>
  <c r="D118" i="13"/>
  <c r="D112" i="13"/>
  <c r="D111" i="13"/>
  <c r="D105" i="13"/>
  <c r="D104" i="13"/>
  <c r="D103" i="13"/>
  <c r="D98" i="13"/>
  <c r="D95" i="13"/>
  <c r="D94" i="13"/>
  <c r="D93" i="13"/>
  <c r="D91" i="13"/>
  <c r="D85" i="13"/>
  <c r="D78" i="13"/>
  <c r="D77" i="13"/>
  <c r="D70" i="13"/>
  <c r="D69" i="13"/>
  <c r="D57" i="13"/>
  <c r="D56" i="13"/>
  <c r="D47" i="13"/>
  <c r="D46" i="13"/>
  <c r="D34" i="13"/>
  <c r="D23" i="13"/>
  <c r="D22" i="13"/>
  <c r="F87" i="13" l="1"/>
  <c r="D9" i="13"/>
  <c r="F185" i="13"/>
  <c r="F94" i="13"/>
  <c r="F161" i="13"/>
  <c r="F163" i="13" s="1"/>
  <c r="F165" i="13" s="1"/>
  <c r="D131" i="21"/>
  <c r="E131" i="21" s="1"/>
  <c r="F131" i="21" s="1"/>
  <c r="D130" i="21"/>
  <c r="E130" i="21" s="1"/>
  <c r="F130" i="21" s="1"/>
  <c r="D133" i="21"/>
  <c r="E133" i="21" s="1"/>
  <c r="F133" i="21" s="1"/>
  <c r="D132" i="21"/>
  <c r="E132" i="21" s="1"/>
  <c r="F132" i="21" s="1"/>
  <c r="F155" i="13"/>
  <c r="F157" i="13" s="1"/>
  <c r="F159" i="13" s="1"/>
  <c r="F78" i="13"/>
  <c r="D105" i="21"/>
  <c r="E105" i="21" s="1"/>
  <c r="F105" i="21" s="1"/>
  <c r="D104" i="21"/>
  <c r="E104" i="21" s="1"/>
  <c r="F104" i="21" s="1"/>
  <c r="D107" i="21"/>
  <c r="E107" i="21" s="1"/>
  <c r="F107" i="21" s="1"/>
  <c r="D106" i="21"/>
  <c r="E106" i="21" s="1"/>
  <c r="F106" i="21" s="1"/>
  <c r="F56" i="13"/>
  <c r="D77" i="21"/>
  <c r="D90" i="21"/>
  <c r="D89" i="21"/>
  <c r="D76" i="21"/>
  <c r="D92" i="21"/>
  <c r="D78" i="21"/>
  <c r="D91" i="21"/>
  <c r="D79" i="21"/>
  <c r="F69" i="13"/>
  <c r="F103" i="13"/>
  <c r="D36" i="21"/>
  <c r="E36" i="21" s="1"/>
  <c r="F36" i="21" s="1"/>
  <c r="D37" i="21"/>
  <c r="E37" i="21" s="1"/>
  <c r="F37" i="21" s="1"/>
  <c r="D40" i="21"/>
  <c r="E40" i="21" s="1"/>
  <c r="F40" i="21" s="1"/>
  <c r="D39" i="21"/>
  <c r="E39" i="21" s="1"/>
  <c r="F39" i="21" s="1"/>
  <c r="D38" i="21"/>
  <c r="E38" i="21" s="1"/>
  <c r="F38" i="21" s="1"/>
  <c r="F93" i="13"/>
  <c r="F98" i="13"/>
  <c r="F70" i="13"/>
  <c r="F77" i="13"/>
  <c r="F57" i="13"/>
  <c r="F178" i="13"/>
  <c r="F24" i="13"/>
  <c r="F38" i="13"/>
  <c r="F187" i="13" l="1"/>
  <c r="F180" i="13"/>
  <c r="F89" i="13"/>
  <c r="D231" i="21"/>
  <c r="E231" i="21" s="1"/>
  <c r="F231" i="21" s="1"/>
  <c r="D148" i="21"/>
  <c r="D161" i="21"/>
  <c r="E161" i="21" s="1"/>
  <c r="F161" i="21" s="1"/>
  <c r="D159" i="21"/>
  <c r="E159" i="21" s="1"/>
  <c r="F159" i="21" s="1"/>
  <c r="D232" i="21"/>
  <c r="E232" i="21" s="1"/>
  <c r="F232" i="21" s="1"/>
  <c r="D145" i="21"/>
  <c r="E145" i="21" s="1"/>
  <c r="F145" i="21" s="1"/>
  <c r="E78" i="21"/>
  <c r="F78" i="21" s="1"/>
  <c r="F167" i="13"/>
  <c r="F171" i="13" s="1"/>
  <c r="F173" i="13" s="1"/>
  <c r="D118" i="21"/>
  <c r="E118" i="21" s="1"/>
  <c r="F118" i="21" s="1"/>
  <c r="D117" i="21"/>
  <c r="E117" i="21" s="1"/>
  <c r="F117" i="21" s="1"/>
  <c r="D120" i="21"/>
  <c r="E120" i="21" s="1"/>
  <c r="F120" i="21" s="1"/>
  <c r="D119" i="21"/>
  <c r="E119" i="21" s="1"/>
  <c r="F119" i="21" s="1"/>
  <c r="E77" i="21"/>
  <c r="F77" i="21" s="1"/>
  <c r="D230" i="21"/>
  <c r="E230" i="21" s="1"/>
  <c r="F230" i="21" s="1"/>
  <c r="E91" i="21"/>
  <c r="F91" i="21" s="1"/>
  <c r="E89" i="21"/>
  <c r="F89" i="21" s="1"/>
  <c r="D147" i="21"/>
  <c r="D160" i="21"/>
  <c r="E90" i="21"/>
  <c r="F90" i="21" s="1"/>
  <c r="E92" i="21"/>
  <c r="F92" i="21" s="1"/>
  <c r="D229" i="21"/>
  <c r="E229" i="21" s="1"/>
  <c r="F229" i="21" s="1"/>
  <c r="E79" i="21"/>
  <c r="F79" i="21" s="1"/>
  <c r="E76" i="21"/>
  <c r="F76" i="21" s="1"/>
  <c r="D162" i="21"/>
  <c r="D146" i="21"/>
  <c r="F99" i="13"/>
  <c r="F101" i="13" s="1"/>
  <c r="F104" i="13"/>
  <c r="F105" i="13"/>
  <c r="F26" i="13"/>
  <c r="F106" i="13" l="1"/>
  <c r="F108" i="13" s="1"/>
  <c r="E148" i="21"/>
  <c r="F148" i="21" s="1"/>
  <c r="E146" i="21"/>
  <c r="F146" i="21" s="1"/>
  <c r="E160" i="21"/>
  <c r="F160" i="21" s="1"/>
  <c r="E162" i="21"/>
  <c r="F162" i="21" s="1"/>
  <c r="E147" i="21"/>
  <c r="F147" i="21" s="1"/>
  <c r="E215" i="21"/>
  <c r="F215" i="21" s="1"/>
  <c r="E216" i="21"/>
  <c r="F216" i="21" s="1"/>
  <c r="E218" i="21"/>
  <c r="F218" i="21" s="1"/>
  <c r="E217" i="21"/>
  <c r="F217" i="21" s="1"/>
  <c r="F79" i="13" l="1"/>
  <c r="F81" i="13" s="1"/>
  <c r="F83" i="13" s="1"/>
  <c r="D79" i="13"/>
  <c r="F10" i="13" l="1"/>
  <c r="D10" i="13"/>
  <c r="D61" i="13"/>
  <c r="F61" i="13"/>
  <c r="C19" i="21"/>
  <c r="F15" i="13"/>
  <c r="D15" i="13"/>
  <c r="F50" i="13"/>
  <c r="D50" i="13"/>
  <c r="D64" i="13"/>
  <c r="F64" i="13"/>
  <c r="D16" i="13"/>
  <c r="D59" i="13"/>
  <c r="F59" i="13"/>
  <c r="D72" i="13"/>
  <c r="F72" i="13"/>
  <c r="D17" i="13"/>
  <c r="C6" i="21"/>
  <c r="D8" i="13"/>
  <c r="F8" i="13"/>
  <c r="F60" i="13"/>
  <c r="D60" i="13"/>
  <c r="D71" i="13"/>
  <c r="F71" i="13"/>
  <c r="D49" i="13"/>
  <c r="F49" i="13"/>
  <c r="D185" i="13"/>
  <c r="D187" i="13" s="1"/>
  <c r="C268" i="21"/>
  <c r="D133" i="13"/>
  <c r="D135" i="13"/>
  <c r="D134" i="13"/>
  <c r="D117" i="13"/>
  <c r="F120" i="13"/>
  <c r="F122" i="13" s="1"/>
  <c r="D110" i="13"/>
  <c r="F113" i="13"/>
  <c r="F115" i="13" s="1"/>
  <c r="D87" i="13"/>
  <c r="D89" i="13" s="1"/>
  <c r="D36" i="13"/>
  <c r="D38" i="13" s="1"/>
  <c r="D24" i="13"/>
  <c r="D26" i="13" s="1"/>
  <c r="F52" i="13" l="1"/>
  <c r="F54" i="13" s="1"/>
  <c r="C32" i="21"/>
  <c r="D28" i="13"/>
  <c r="F28" i="13"/>
  <c r="D29" i="13"/>
  <c r="F29" i="13"/>
  <c r="F65" i="13"/>
  <c r="F67" i="13" s="1"/>
  <c r="F149" i="13"/>
  <c r="F151" i="13" s="1"/>
  <c r="F153" i="13" s="1"/>
  <c r="D149" i="13"/>
  <c r="F73" i="13"/>
  <c r="F75" i="13" s="1"/>
  <c r="F11" i="13"/>
  <c r="F13" i="13" s="1"/>
  <c r="F18" i="13"/>
  <c r="F20" i="13" s="1"/>
  <c r="F142" i="13"/>
  <c r="D142" i="13"/>
  <c r="D150" i="13"/>
  <c r="F150" i="13"/>
  <c r="F136" i="13"/>
  <c r="F138" i="13" s="1"/>
  <c r="D163" i="13"/>
  <c r="D165" i="13" s="1"/>
  <c r="D148" i="13"/>
  <c r="C196" i="21"/>
  <c r="C183" i="21"/>
  <c r="D136" i="13"/>
  <c r="D138" i="13" s="1"/>
  <c r="D120" i="13"/>
  <c r="D122" i="13" s="1"/>
  <c r="D113" i="13"/>
  <c r="D115" i="13" s="1"/>
  <c r="D11" i="13"/>
  <c r="D13" i="13" s="1"/>
  <c r="D171" i="13"/>
  <c r="D173" i="13" s="1"/>
  <c r="D157" i="13"/>
  <c r="D159" i="13" s="1"/>
  <c r="F143" i="13" l="1"/>
  <c r="D143" i="13"/>
  <c r="D127" i="13"/>
  <c r="F127" i="13"/>
  <c r="F30" i="13"/>
  <c r="F32" i="13" s="1"/>
  <c r="D141" i="13"/>
  <c r="D144" i="13" s="1"/>
  <c r="D146" i="13" s="1"/>
  <c r="D126" i="13"/>
  <c r="F126" i="13"/>
  <c r="F128" i="13" s="1"/>
  <c r="F130" i="13" s="1"/>
  <c r="D81" i="13"/>
  <c r="D151" i="13"/>
  <c r="D153" i="13" s="1"/>
  <c r="F144" i="13"/>
  <c r="F146" i="13" s="1"/>
  <c r="D30" i="13"/>
  <c r="D125" i="13"/>
  <c r="D106" i="13"/>
  <c r="D108" i="13" s="1"/>
  <c r="D52" i="13"/>
  <c r="D54" i="13" s="1"/>
  <c r="D83" i="13" l="1"/>
  <c r="D32" i="13"/>
  <c r="D128" i="13"/>
  <c r="D130" i="13" s="1"/>
  <c r="D73" i="13"/>
  <c r="D75" i="13" s="1"/>
  <c r="D99" i="13"/>
  <c r="D101" i="13" s="1"/>
  <c r="D65" i="13"/>
  <c r="D67" i="13" s="1"/>
  <c r="D18" i="13" l="1"/>
  <c r="D20" i="13" s="1"/>
  <c r="D178" i="13" l="1"/>
  <c r="D180" i="13" s="1"/>
</calcChain>
</file>

<file path=xl/sharedStrings.xml><?xml version="1.0" encoding="utf-8"?>
<sst xmlns="http://schemas.openxmlformats.org/spreadsheetml/2006/main" count="385" uniqueCount="84">
  <si>
    <t>Revenue</t>
  </si>
  <si>
    <t>Adj Factor</t>
  </si>
  <si>
    <t>Billable Demand</t>
  </si>
  <si>
    <t>Small Demand</t>
  </si>
  <si>
    <t>LUBD Small</t>
  </si>
  <si>
    <t>Adj Revenue</t>
  </si>
  <si>
    <t xml:space="preserve">              (x avg energy chg &amp; dist chg)</t>
  </si>
  <si>
    <t>Total kWh</t>
  </si>
  <si>
    <t>Customer Months</t>
  </si>
  <si>
    <t>SEP Large</t>
  </si>
  <si>
    <t>SEP Medium</t>
  </si>
  <si>
    <t>Balance of kWh</t>
  </si>
  <si>
    <t>1st 2000 kWh block</t>
  </si>
  <si>
    <t>Diesel Non-Govt</t>
  </si>
  <si>
    <t>Diesel Prov Govt</t>
  </si>
  <si>
    <t>Diesel Fed Govt</t>
  </si>
  <si>
    <t>LUBD Lrg &gt;100 kV</t>
  </si>
  <si>
    <t>Large &gt;100 kV</t>
  </si>
  <si>
    <t>Large 30-100 kV</t>
  </si>
  <si>
    <t>LUBD Lrg 750-30</t>
  </si>
  <si>
    <t>Large 750V-30kV</t>
  </si>
  <si>
    <t>LUBD Medium</t>
  </si>
  <si>
    <t>Next 8500 kWh block</t>
  </si>
  <si>
    <t>1st 11000 kWh block</t>
  </si>
  <si>
    <t>Medium Demand</t>
  </si>
  <si>
    <t>-</t>
  </si>
  <si>
    <t>FRWH</t>
  </si>
  <si>
    <t>Mthly Avg Custs</t>
  </si>
  <si>
    <t>Seasonal</t>
  </si>
  <si>
    <t>3Ph Cust Months</t>
  </si>
  <si>
    <t>Small Non-Demand</t>
  </si>
  <si>
    <t>Rate</t>
  </si>
  <si>
    <t>Forecast</t>
  </si>
  <si>
    <t>Diesel</t>
  </si>
  <si>
    <t>&gt;200 amp  Custs</t>
  </si>
  <si>
    <t>Basic</t>
  </si>
  <si>
    <t xml:space="preserve">On Reserve </t>
  </si>
  <si>
    <t>Residential</t>
  </si>
  <si>
    <t xml:space="preserve"> </t>
  </si>
  <si>
    <t>Bill Comparison</t>
  </si>
  <si>
    <t>Difference</t>
  </si>
  <si>
    <t xml:space="preserve">Percent </t>
  </si>
  <si>
    <t>kWh</t>
  </si>
  <si>
    <t>$ / Month</t>
  </si>
  <si>
    <t>in $ / Month</t>
  </si>
  <si>
    <t>Change</t>
  </si>
  <si>
    <t xml:space="preserve">Seasonal </t>
  </si>
  <si>
    <t>$ / Summer</t>
  </si>
  <si>
    <t>in $ / Summer</t>
  </si>
  <si>
    <t>General Service Small</t>
  </si>
  <si>
    <t xml:space="preserve"> &lt; 50 kVA</t>
  </si>
  <si>
    <t xml:space="preserve"> 51 kVA</t>
  </si>
  <si>
    <t>Load</t>
  </si>
  <si>
    <t>Factor</t>
  </si>
  <si>
    <t>100 kVA</t>
  </si>
  <si>
    <t>General Service</t>
  </si>
  <si>
    <t xml:space="preserve"> Government and First Nation Education</t>
  </si>
  <si>
    <t>General Service Medium</t>
  </si>
  <si>
    <t>500 kVA</t>
  </si>
  <si>
    <t>1 000 kVA</t>
  </si>
  <si>
    <t>General Service Large - 750 V to 30 kV</t>
  </si>
  <si>
    <t>5 000 kVA</t>
  </si>
  <si>
    <t>General Service Large - 30 kV to 100 kV</t>
  </si>
  <si>
    <t>10 000 kVA</t>
  </si>
  <si>
    <t>General Service Large - Over 100 kV</t>
  </si>
  <si>
    <t>50 000 kVA</t>
  </si>
  <si>
    <t>Limited Use Billing Demand - General Service Small</t>
  </si>
  <si>
    <t>Limited Use Billing Demand - General Service Medium</t>
  </si>
  <si>
    <t>Limited Use Billing Demand - General Service Large - 750 V to 30 kV</t>
  </si>
  <si>
    <t>Limited Use Billing Demand - General Service Large - 30 kV to 100 kV</t>
  </si>
  <si>
    <t>Forecast Customers: 0</t>
  </si>
  <si>
    <t>Limited Use Billing Demand - General Service Large - Over 100 kV</t>
  </si>
  <si>
    <t>\</t>
  </si>
  <si>
    <t>Forecast Customers:</t>
  </si>
  <si>
    <t xml:space="preserve">Forecast Customers: </t>
  </si>
  <si>
    <t>LUBD Large 30-100 kV</t>
  </si>
  <si>
    <t>&gt;200 Amps</t>
  </si>
  <si>
    <t>RESIDENTIAL:   2019/20</t>
  </si>
  <si>
    <t>GENERAL SERVICE:  2019/20</t>
  </si>
  <si>
    <t>First Nations On Reserve</t>
  </si>
  <si>
    <t>2019/20 Forecast Year</t>
  </si>
  <si>
    <t xml:space="preserve">Revenue @ Proposed June 1, 2019 Rates </t>
  </si>
  <si>
    <t>June 1, 2018 Rates vs Proposed June 1, 2019 Rates</t>
  </si>
  <si>
    <t xml:space="preserve">Revenue @ June 1, 2018 Rates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</si>
</sst>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&quot;$&quot;#,##0"/>
    <numFmt numFmtId="167" formatCode="&quot;$&quot;#,##0.00000"/>
    <numFmt numFmtId="168" formatCode="&quot;$&quot;#,##0.00"/>
    <numFmt numFmtId="169" formatCode="mmmm\ d\,\ yyyy"/>
    <numFmt numFmtId="170" formatCode="_(\ #\ ##0_);_(\(#\ ##0\);"/>
    <numFmt numFmtId="171" formatCode="#,##0.000_);\(#,##0.000\)"/>
    <numFmt numFmtId="172" formatCode="0.000%"/>
    <numFmt numFmtId="173" formatCode="&quot;$&quot;#,##0.0000"/>
    <numFmt numFmtId="174" formatCode="_(* #,##0.00000_);_(* \(#,##0.00000\);_(* &quot;-&quot;??_);_(@_)"/>
    <numFmt numFmtId="175" formatCode="&quot;$&quot;#,##0.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70C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Calibri"/>
      <family val="2"/>
      <scheme val="minor"/>
    </font>
    <font>
      <b/>
      <i/>
      <u/>
      <sz val="10"/>
      <color theme="1"/>
      <name val="Times New Roman"/>
      <family val="1"/>
    </font>
    <font>
      <b/>
      <i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7" fillId="0" borderId="0"/>
    <xf numFmtId="0" fontId="11" fillId="0" borderId="0"/>
  </cellStyleXfs>
  <cellXfs count="107">
    <xf numFmtId="0" fontId="0" fillId="0" borderId="0" xfId="0"/>
    <xf numFmtId="0" fontId="14" fillId="2" borderId="0" xfId="0" applyFont="1" applyFill="1"/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3" fontId="14" fillId="2" borderId="0" xfId="0" applyNumberFormat="1" applyFont="1" applyFill="1"/>
    <xf numFmtId="0" fontId="14" fillId="2" borderId="12" xfId="0" applyFont="1" applyFill="1" applyBorder="1" applyAlignment="1">
      <alignment horizontal="center"/>
    </xf>
    <xf numFmtId="169" fontId="14" fillId="2" borderId="12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170" fontId="14" fillId="2" borderId="5" xfId="0" applyNumberFormat="1" applyFont="1" applyFill="1" applyBorder="1" applyAlignment="1">
      <alignment horizontal="right"/>
    </xf>
    <xf numFmtId="7" fontId="14" fillId="2" borderId="5" xfId="0" applyNumberFormat="1" applyFont="1" applyFill="1" applyBorder="1" applyAlignment="1">
      <alignment horizontal="right"/>
    </xf>
    <xf numFmtId="10" fontId="14" fillId="2" borderId="5" xfId="3" applyNumberFormat="1" applyFont="1" applyFill="1" applyBorder="1" applyAlignment="1">
      <alignment horizontal="right"/>
    </xf>
    <xf numFmtId="10" fontId="14" fillId="2" borderId="0" xfId="3" applyNumberFormat="1" applyFont="1" applyFill="1"/>
    <xf numFmtId="170" fontId="14" fillId="2" borderId="0" xfId="0" applyNumberFormat="1" applyFont="1" applyFill="1" applyBorder="1" applyAlignment="1">
      <alignment horizontal="center"/>
    </xf>
    <xf numFmtId="7" fontId="14" fillId="2" borderId="0" xfId="0" applyNumberFormat="1" applyFont="1" applyFill="1" applyBorder="1" applyAlignment="1">
      <alignment horizontal="center"/>
    </xf>
    <xf numFmtId="170" fontId="14" fillId="2" borderId="0" xfId="0" applyNumberFormat="1" applyFont="1" applyFill="1"/>
    <xf numFmtId="7" fontId="14" fillId="2" borderId="0" xfId="0" applyNumberFormat="1" applyFont="1" applyFill="1"/>
    <xf numFmtId="165" fontId="14" fillId="2" borderId="0" xfId="1" applyNumberFormat="1" applyFont="1" applyFill="1"/>
    <xf numFmtId="1" fontId="14" fillId="2" borderId="0" xfId="0" applyNumberFormat="1" applyFont="1" applyFill="1"/>
    <xf numFmtId="9" fontId="14" fillId="2" borderId="5" xfId="3" applyFont="1" applyFill="1" applyBorder="1" applyAlignment="1"/>
    <xf numFmtId="7" fontId="14" fillId="2" borderId="5" xfId="2" applyNumberFormat="1" applyFont="1" applyFill="1" applyBorder="1" applyAlignment="1"/>
    <xf numFmtId="165" fontId="14" fillId="2" borderId="0" xfId="0" applyNumberFormat="1" applyFont="1" applyFill="1"/>
    <xf numFmtId="0" fontId="15" fillId="2" borderId="0" xfId="0" applyFont="1" applyFill="1" applyAlignment="1">
      <alignment horizontal="center"/>
    </xf>
    <xf numFmtId="0" fontId="13" fillId="2" borderId="0" xfId="0" applyFont="1" applyFill="1" applyBorder="1" applyAlignment="1"/>
    <xf numFmtId="7" fontId="14" fillId="2" borderId="5" xfId="2" quotePrefix="1" applyNumberFormat="1" applyFont="1" applyFill="1" applyBorder="1" applyAlignment="1"/>
    <xf numFmtId="165" fontId="16" fillId="2" borderId="0" xfId="1" applyNumberFormat="1" applyFont="1" applyFill="1"/>
    <xf numFmtId="0" fontId="16" fillId="2" borderId="0" xfId="0" applyFont="1" applyFill="1"/>
    <xf numFmtId="9" fontId="14" fillId="2" borderId="5" xfId="3" applyFont="1" applyFill="1" applyBorder="1" applyAlignment="1">
      <alignment horizontal="right"/>
    </xf>
    <xf numFmtId="5" fontId="14" fillId="2" borderId="5" xfId="2" quotePrefix="1" applyNumberFormat="1" applyFont="1" applyFill="1" applyBorder="1" applyAlignment="1"/>
    <xf numFmtId="0" fontId="14" fillId="2" borderId="0" xfId="0" applyFont="1" applyFill="1" applyAlignment="1">
      <alignment horizontal="right"/>
    </xf>
    <xf numFmtId="9" fontId="14" fillId="2" borderId="0" xfId="3" applyFont="1" applyFill="1"/>
    <xf numFmtId="9" fontId="14" fillId="2" borderId="0" xfId="3" applyFont="1" applyFill="1" applyBorder="1" applyAlignment="1"/>
    <xf numFmtId="5" fontId="14" fillId="2" borderId="0" xfId="2" applyNumberFormat="1" applyFont="1" applyFill="1" applyBorder="1" applyAlignment="1"/>
    <xf numFmtId="171" fontId="14" fillId="2" borderId="0" xfId="0" applyNumberFormat="1" applyFont="1" applyFill="1"/>
    <xf numFmtId="5" fontId="14" fillId="2" borderId="5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3" fillId="2" borderId="0" xfId="0" applyFont="1" applyFill="1" applyAlignment="1"/>
    <xf numFmtId="10" fontId="3" fillId="2" borderId="0" xfId="0" applyNumberFormat="1" applyFont="1" applyFill="1" applyAlignment="1"/>
    <xf numFmtId="0" fontId="8" fillId="2" borderId="0" xfId="0" applyFont="1" applyFill="1" applyAlignment="1"/>
    <xf numFmtId="172" fontId="3" fillId="2" borderId="0" xfId="3" applyNumberFormat="1" applyFont="1" applyFill="1" applyAlignment="1"/>
    <xf numFmtId="0" fontId="7" fillId="2" borderId="4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justify"/>
    </xf>
    <xf numFmtId="0" fontId="3" fillId="2" borderId="11" xfId="0" applyFont="1" applyFill="1" applyBorder="1" applyAlignment="1"/>
    <xf numFmtId="0" fontId="3" fillId="2" borderId="10" xfId="0" applyFont="1" applyFill="1" applyBorder="1" applyAlignment="1"/>
    <xf numFmtId="0" fontId="3" fillId="2" borderId="6" xfId="0" applyFont="1" applyFill="1" applyBorder="1" applyAlignment="1"/>
    <xf numFmtId="3" fontId="2" fillId="2" borderId="6" xfId="0" applyNumberFormat="1" applyFont="1" applyFill="1" applyBorder="1" applyAlignment="1">
      <alignment horizontal="right" vertical="top" wrapText="1"/>
    </xf>
    <xf numFmtId="168" fontId="4" fillId="2" borderId="6" xfId="0" applyNumberFormat="1" applyFont="1" applyFill="1" applyBorder="1" applyAlignment="1"/>
    <xf numFmtId="3" fontId="3" fillId="2" borderId="1" xfId="0" applyNumberFormat="1" applyFont="1" applyFill="1" applyBorder="1" applyAlignment="1"/>
    <xf numFmtId="168" fontId="3" fillId="2" borderId="0" xfId="0" applyNumberFormat="1" applyFont="1" applyFill="1" applyAlignment="1"/>
    <xf numFmtId="10" fontId="3" fillId="2" borderId="0" xfId="3" applyNumberFormat="1" applyFont="1" applyFill="1" applyAlignment="1"/>
    <xf numFmtId="0" fontId="3" fillId="2" borderId="6" xfId="0" quotePrefix="1" applyFont="1" applyFill="1" applyBorder="1" applyAlignment="1"/>
    <xf numFmtId="167" fontId="4" fillId="2" borderId="6" xfId="0" applyNumberFormat="1" applyFont="1" applyFill="1" applyBorder="1" applyAlignment="1"/>
    <xf numFmtId="3" fontId="3" fillId="2" borderId="9" xfId="0" applyNumberFormat="1" applyFont="1" applyFill="1" applyBorder="1" applyAlignment="1"/>
    <xf numFmtId="3" fontId="3" fillId="2" borderId="6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/>
    <xf numFmtId="166" fontId="3" fillId="2" borderId="3" xfId="0" applyNumberFormat="1" applyFont="1" applyFill="1" applyBorder="1" applyAlignment="1"/>
    <xf numFmtId="0" fontId="3" fillId="2" borderId="8" xfId="0" applyFont="1" applyFill="1" applyBorder="1" applyAlignment="1"/>
    <xf numFmtId="173" fontId="4" fillId="2" borderId="6" xfId="0" applyNumberFormat="1" applyFont="1" applyFill="1" applyBorder="1" applyAlignment="1"/>
    <xf numFmtId="168" fontId="3" fillId="2" borderId="6" xfId="0" applyNumberFormat="1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/>
    <xf numFmtId="0" fontId="3" fillId="2" borderId="5" xfId="0" applyFont="1" applyFill="1" applyBorder="1" applyAlignment="1"/>
    <xf numFmtId="0" fontId="3" fillId="2" borderId="2" xfId="0" applyFont="1" applyFill="1" applyBorder="1" applyAlignment="1"/>
    <xf numFmtId="0" fontId="6" fillId="2" borderId="12" xfId="0" applyFont="1" applyFill="1" applyBorder="1" applyAlignment="1">
      <alignment horizontal="justify"/>
    </xf>
    <xf numFmtId="0" fontId="3" fillId="2" borderId="11" xfId="0" applyFont="1" applyFill="1" applyBorder="1" applyAlignment="1">
      <alignment horizontal="center"/>
    </xf>
    <xf numFmtId="167" fontId="4" fillId="2" borderId="6" xfId="0" applyNumberFormat="1" applyFont="1" applyFill="1" applyBorder="1" applyAlignment="1">
      <alignment horizontal="center"/>
    </xf>
    <xf numFmtId="10" fontId="3" fillId="2" borderId="0" xfId="3" applyNumberFormat="1" applyFont="1" applyFill="1" applyBorder="1" applyAlignment="1"/>
    <xf numFmtId="166" fontId="3" fillId="2" borderId="0" xfId="0" applyNumberFormat="1" applyFont="1" applyFill="1" applyBorder="1" applyAlignment="1"/>
    <xf numFmtId="0" fontId="9" fillId="2" borderId="0" xfId="0" applyFont="1" applyFill="1" applyAlignment="1"/>
    <xf numFmtId="0" fontId="0" fillId="2" borderId="0" xfId="0" applyFill="1" applyAlignment="1"/>
    <xf numFmtId="3" fontId="2" fillId="2" borderId="7" xfId="0" applyNumberFormat="1" applyFont="1" applyFill="1" applyBorder="1" applyAlignment="1">
      <alignment horizontal="right" vertical="top" wrapText="1"/>
    </xf>
    <xf numFmtId="0" fontId="3" fillId="2" borderId="12" xfId="0" applyFont="1" applyFill="1" applyBorder="1" applyAlignment="1"/>
    <xf numFmtId="174" fontId="4" fillId="2" borderId="6" xfId="1" applyNumberFormat="1" applyFont="1" applyFill="1" applyBorder="1" applyAlignment="1"/>
    <xf numFmtId="165" fontId="4" fillId="2" borderId="8" xfId="1" applyNumberFormat="1" applyFont="1" applyFill="1" applyBorder="1" applyAlignment="1"/>
    <xf numFmtId="2" fontId="3" fillId="2" borderId="11" xfId="0" applyNumberFormat="1" applyFont="1" applyFill="1" applyBorder="1" applyAlignment="1">
      <alignment horizontal="center"/>
    </xf>
    <xf numFmtId="173" fontId="3" fillId="2" borderId="6" xfId="0" applyNumberFormat="1" applyFont="1" applyFill="1" applyBorder="1" applyAlignment="1"/>
    <xf numFmtId="10" fontId="3" fillId="2" borderId="11" xfId="3" applyNumberFormat="1" applyFont="1" applyFill="1" applyBorder="1" applyAlignment="1"/>
    <xf numFmtId="166" fontId="3" fillId="2" borderId="10" xfId="0" applyNumberFormat="1" applyFont="1" applyFill="1" applyBorder="1" applyAlignment="1"/>
    <xf numFmtId="175" fontId="4" fillId="2" borderId="6" xfId="0" applyNumberFormat="1" applyFont="1" applyFill="1" applyBorder="1" applyAlignment="1"/>
    <xf numFmtId="3" fontId="2" fillId="2" borderId="8" xfId="0" applyNumberFormat="1" applyFont="1" applyFill="1" applyBorder="1" applyAlignment="1">
      <alignment horizontal="right" wrapText="1"/>
    </xf>
    <xf numFmtId="168" fontId="4" fillId="2" borderId="6" xfId="0" applyNumberFormat="1" applyFont="1" applyFill="1" applyBorder="1" applyAlignment="1">
      <alignment horizontal="right"/>
    </xf>
    <xf numFmtId="167" fontId="4" fillId="2" borderId="6" xfId="0" applyNumberFormat="1" applyFont="1" applyFill="1" applyBorder="1" applyAlignment="1">
      <alignment horizontal="right"/>
    </xf>
    <xf numFmtId="168" fontId="3" fillId="2" borderId="11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/>
    <xf numFmtId="0" fontId="5" fillId="2" borderId="6" xfId="0" applyFont="1" applyFill="1" applyBorder="1" applyAlignment="1"/>
    <xf numFmtId="0" fontId="3" fillId="2" borderId="7" xfId="0" applyFont="1" applyFill="1" applyBorder="1" applyAlignment="1"/>
    <xf numFmtId="0" fontId="0" fillId="2" borderId="0" xfId="0" applyFont="1" applyFill="1" applyAlignment="1"/>
    <xf numFmtId="166" fontId="0" fillId="2" borderId="0" xfId="0" applyNumberFormat="1" applyFont="1" applyFill="1" applyAlignment="1"/>
    <xf numFmtId="166" fontId="0" fillId="2" borderId="0" xfId="0" applyNumberFormat="1" applyFill="1" applyAlignment="1"/>
    <xf numFmtId="166" fontId="3" fillId="2" borderId="0" xfId="0" applyNumberFormat="1" applyFont="1" applyFill="1" applyAlignment="1"/>
    <xf numFmtId="10" fontId="0" fillId="2" borderId="0" xfId="3" applyNumberFormat="1" applyFont="1" applyFill="1" applyAlignment="1"/>
    <xf numFmtId="43" fontId="0" fillId="2" borderId="0" xfId="0" applyNumberFormat="1" applyFill="1" applyAlignment="1"/>
    <xf numFmtId="43" fontId="0" fillId="2" borderId="0" xfId="1" applyFont="1" applyFill="1" applyAlignment="1"/>
    <xf numFmtId="43" fontId="3" fillId="2" borderId="0" xfId="0" applyNumberFormat="1" applyFont="1" applyFill="1" applyAlignment="1"/>
    <xf numFmtId="5" fontId="3" fillId="2" borderId="0" xfId="0" applyNumberFormat="1" applyFont="1" applyFill="1" applyAlignment="1"/>
    <xf numFmtId="166" fontId="3" fillId="2" borderId="0" xfId="3" applyNumberFormat="1" applyFont="1" applyFill="1" applyAlignment="1"/>
    <xf numFmtId="0" fontId="6" fillId="0" borderId="12" xfId="0" applyFont="1" applyFill="1" applyBorder="1" applyAlignment="1">
      <alignment horizontal="justify"/>
    </xf>
    <xf numFmtId="43" fontId="3" fillId="2" borderId="0" xfId="1" applyFont="1" applyFill="1" applyAlignment="1"/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10">
    <cellStyle name="Comma" xfId="1" builtinId="3"/>
    <cellStyle name="Comma 2" xfId="5"/>
    <cellStyle name="Currency" xfId="2" builtinId="4"/>
    <cellStyle name="Normal" xfId="0" builtinId="0"/>
    <cellStyle name="Normal 2" xfId="4"/>
    <cellStyle name="Normal 3" xfId="6"/>
    <cellStyle name="Normal 4" xfId="8"/>
    <cellStyle name="Normal 4 2" xfId="9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workbookViewId="0">
      <selection activeCell="B1" sqref="B1"/>
    </sheetView>
  </sheetViews>
  <sheetFormatPr defaultColWidth="8.85546875" defaultRowHeight="15" x14ac:dyDescent="0.25"/>
  <cols>
    <col min="1" max="1" width="17.28515625" style="36" customWidth="1"/>
    <col min="2" max="2" width="15.7109375" style="36" bestFit="1" customWidth="1"/>
    <col min="3" max="3" width="21.140625" style="36" customWidth="1"/>
    <col min="4" max="4" width="17.85546875" style="36" bestFit="1" customWidth="1"/>
    <col min="5" max="5" width="21" style="36" customWidth="1"/>
    <col min="6" max="6" width="17.85546875" style="36" bestFit="1" customWidth="1"/>
    <col min="7" max="7" width="17.28515625" style="76" customWidth="1"/>
    <col min="8" max="8" width="14.5703125" style="99" bestFit="1" customWidth="1"/>
    <col min="9" max="16384" width="8.85546875" style="76"/>
  </cols>
  <sheetData>
    <row r="1" spans="1:8" s="36" customFormat="1" ht="15.75" x14ac:dyDescent="0.25">
      <c r="A1" s="34" t="s">
        <v>80</v>
      </c>
      <c r="B1" s="35"/>
      <c r="C1" s="35"/>
      <c r="D1" s="35"/>
      <c r="E1" s="35"/>
      <c r="F1" s="35"/>
      <c r="H1" s="104"/>
    </row>
    <row r="2" spans="1:8" s="36" customFormat="1" ht="15.75" x14ac:dyDescent="0.25">
      <c r="A2" s="34" t="s">
        <v>82</v>
      </c>
      <c r="B2" s="35"/>
      <c r="C2" s="35"/>
      <c r="D2" s="35"/>
      <c r="E2" s="35"/>
      <c r="F2" s="35"/>
      <c r="H2" s="104"/>
    </row>
    <row r="3" spans="1:8" s="36" customFormat="1" ht="12.75" x14ac:dyDescent="0.2">
      <c r="G3" s="37"/>
      <c r="H3" s="104"/>
    </row>
    <row r="4" spans="1:8" s="36" customFormat="1" ht="13.5" x14ac:dyDescent="0.25">
      <c r="A4" s="38" t="s">
        <v>77</v>
      </c>
      <c r="B4" s="38"/>
      <c r="C4" s="39"/>
      <c r="E4" s="39"/>
      <c r="H4" s="104"/>
    </row>
    <row r="5" spans="1:8" s="36" customFormat="1" ht="13.5" x14ac:dyDescent="0.25">
      <c r="A5" s="38"/>
      <c r="B5" s="38"/>
      <c r="C5" s="40" t="s">
        <v>83</v>
      </c>
      <c r="D5" s="41"/>
      <c r="E5" s="40" t="s">
        <v>81</v>
      </c>
      <c r="F5" s="41"/>
      <c r="H5" s="104"/>
    </row>
    <row r="6" spans="1:8" s="36" customFormat="1" ht="12.75" x14ac:dyDescent="0.2">
      <c r="B6" s="42" t="s">
        <v>32</v>
      </c>
      <c r="C6" s="42" t="s">
        <v>31</v>
      </c>
      <c r="D6" s="43" t="s">
        <v>0</v>
      </c>
      <c r="E6" s="42" t="s">
        <v>31</v>
      </c>
      <c r="F6" s="43" t="s">
        <v>0</v>
      </c>
      <c r="H6" s="104"/>
    </row>
    <row r="7" spans="1:8" s="36" customFormat="1" ht="12.75" x14ac:dyDescent="0.2">
      <c r="A7" s="44" t="s">
        <v>35</v>
      </c>
      <c r="B7" s="45"/>
      <c r="C7" s="45"/>
      <c r="D7" s="46"/>
      <c r="E7" s="45"/>
      <c r="F7" s="46"/>
      <c r="H7" s="104"/>
    </row>
    <row r="8" spans="1:8" s="36" customFormat="1" ht="12.75" x14ac:dyDescent="0.2">
      <c r="A8" s="47" t="s">
        <v>8</v>
      </c>
      <c r="B8" s="48">
        <v>5692838</v>
      </c>
      <c r="C8" s="49">
        <v>8.41</v>
      </c>
      <c r="D8" s="50">
        <f>$B$8*C8</f>
        <v>47876767.579999998</v>
      </c>
      <c r="E8" s="49">
        <v>8.7100000000000009</v>
      </c>
      <c r="F8" s="50">
        <f>$B$8*E8</f>
        <v>49584618.980000004</v>
      </c>
      <c r="G8" s="51"/>
      <c r="H8" s="104"/>
    </row>
    <row r="9" spans="1:8" s="36" customFormat="1" ht="12.75" x14ac:dyDescent="0.2">
      <c r="A9" s="53" t="s">
        <v>34</v>
      </c>
      <c r="B9" s="48">
        <v>70013</v>
      </c>
      <c r="C9" s="49">
        <v>8.41</v>
      </c>
      <c r="D9" s="50">
        <f>$B$9*C9+$B$9*C8</f>
        <v>1177618.6599999999</v>
      </c>
      <c r="E9" s="49">
        <v>8.7100000000000009</v>
      </c>
      <c r="F9" s="50">
        <f>$B$9*E9+$B$9*E8</f>
        <v>1219626.4600000002</v>
      </c>
      <c r="G9" s="51"/>
      <c r="H9" s="104"/>
    </row>
    <row r="10" spans="1:8" s="36" customFormat="1" ht="12.75" x14ac:dyDescent="0.2">
      <c r="A10" s="47" t="s">
        <v>7</v>
      </c>
      <c r="B10" s="48">
        <v>7157086935</v>
      </c>
      <c r="C10" s="54">
        <v>8.5269999999999999E-2</v>
      </c>
      <c r="D10" s="55">
        <f>$B$10*C10</f>
        <v>610284802.94745004</v>
      </c>
      <c r="E10" s="54">
        <v>8.8270000000000001E-2</v>
      </c>
      <c r="F10" s="55">
        <f>$B$10*E10</f>
        <v>631756063.75244999</v>
      </c>
      <c r="G10" s="51"/>
      <c r="H10" s="104"/>
    </row>
    <row r="11" spans="1:8" s="36" customFormat="1" ht="15" customHeight="1" x14ac:dyDescent="0.2">
      <c r="A11" s="47"/>
      <c r="B11" s="47"/>
      <c r="C11" s="47"/>
      <c r="D11" s="50">
        <f>SUM(D8:D10)</f>
        <v>659339189.18745005</v>
      </c>
      <c r="E11" s="47"/>
      <c r="F11" s="50">
        <f>SUM(F8:F10)</f>
        <v>682560309.19245005</v>
      </c>
      <c r="G11" s="51"/>
      <c r="H11" s="104"/>
    </row>
    <row r="12" spans="1:8" s="36" customFormat="1" ht="12.75" x14ac:dyDescent="0.2">
      <c r="A12" s="47" t="s">
        <v>1</v>
      </c>
      <c r="B12" s="56"/>
      <c r="C12" s="47"/>
      <c r="D12" s="57">
        <v>1</v>
      </c>
      <c r="E12" s="47"/>
      <c r="F12" s="57">
        <v>1</v>
      </c>
      <c r="G12" s="51"/>
      <c r="H12" s="104"/>
    </row>
    <row r="13" spans="1:8" s="36" customFormat="1" ht="15" customHeight="1" x14ac:dyDescent="0.2">
      <c r="A13" s="58" t="s">
        <v>5</v>
      </c>
      <c r="B13" s="58"/>
      <c r="C13" s="58"/>
      <c r="D13" s="59">
        <f>D11*D12</f>
        <v>659339189.18745005</v>
      </c>
      <c r="E13" s="58"/>
      <c r="F13" s="59">
        <f>F11*F12</f>
        <v>682560309.19245005</v>
      </c>
      <c r="G13" s="102"/>
      <c r="H13" s="104"/>
    </row>
    <row r="14" spans="1:8" s="36" customFormat="1" ht="12.75" x14ac:dyDescent="0.2">
      <c r="A14" s="44" t="s">
        <v>36</v>
      </c>
      <c r="B14" s="45"/>
      <c r="C14" s="45"/>
      <c r="D14" s="46"/>
      <c r="E14" s="45"/>
      <c r="F14" s="46"/>
      <c r="G14" s="102"/>
      <c r="H14" s="104"/>
    </row>
    <row r="15" spans="1:8" s="36" customFormat="1" ht="12.75" x14ac:dyDescent="0.2">
      <c r="A15" s="47" t="s">
        <v>8</v>
      </c>
      <c r="B15" s="48">
        <v>222574</v>
      </c>
      <c r="C15" s="49">
        <v>8.08</v>
      </c>
      <c r="D15" s="50">
        <f>$B$15*C15</f>
        <v>1798397.92</v>
      </c>
      <c r="E15" s="49">
        <v>8.36</v>
      </c>
      <c r="F15" s="50">
        <f>$B$15*E15</f>
        <v>1860718.64</v>
      </c>
      <c r="G15" s="102"/>
      <c r="H15" s="104"/>
    </row>
    <row r="16" spans="1:8" s="36" customFormat="1" ht="12.75" x14ac:dyDescent="0.2">
      <c r="A16" s="47" t="s">
        <v>76</v>
      </c>
      <c r="B16" s="48">
        <v>250</v>
      </c>
      <c r="C16" s="49">
        <v>8.08</v>
      </c>
      <c r="D16" s="50">
        <f>+$B$16*C16+$B$16*C15</f>
        <v>4040</v>
      </c>
      <c r="E16" s="49">
        <v>8.36</v>
      </c>
      <c r="F16" s="50">
        <f>+$B$16*E16+$B$16*E15</f>
        <v>4180</v>
      </c>
      <c r="G16" s="102"/>
      <c r="H16" s="104"/>
    </row>
    <row r="17" spans="1:8" s="36" customFormat="1" ht="12.75" x14ac:dyDescent="0.2">
      <c r="A17" s="60" t="s">
        <v>7</v>
      </c>
      <c r="B17" s="48">
        <v>561676008</v>
      </c>
      <c r="C17" s="54">
        <v>8.1960000000000005E-2</v>
      </c>
      <c r="D17" s="55">
        <f>$B$17*C17</f>
        <v>46034965.615680002</v>
      </c>
      <c r="E17" s="61">
        <v>8.4839999999999999E-2</v>
      </c>
      <c r="F17" s="55">
        <f>$B$17*E17</f>
        <v>47652592.518720001</v>
      </c>
      <c r="G17" s="102"/>
      <c r="H17" s="104"/>
    </row>
    <row r="18" spans="1:8" s="36" customFormat="1" ht="15" customHeight="1" x14ac:dyDescent="0.2">
      <c r="A18" s="47"/>
      <c r="B18" s="47"/>
      <c r="C18" s="47"/>
      <c r="D18" s="50">
        <f>SUM(D15:D17)</f>
        <v>47837403.535680003</v>
      </c>
      <c r="E18" s="47"/>
      <c r="F18" s="50">
        <f>SUM(F15:F17)</f>
        <v>49517491.158720002</v>
      </c>
      <c r="G18" s="102"/>
      <c r="H18" s="104"/>
    </row>
    <row r="19" spans="1:8" s="36" customFormat="1" ht="12.75" x14ac:dyDescent="0.2">
      <c r="A19" s="47" t="s">
        <v>1</v>
      </c>
      <c r="B19" s="47"/>
      <c r="C19" s="47"/>
      <c r="D19" s="57">
        <v>1</v>
      </c>
      <c r="E19" s="47"/>
      <c r="F19" s="57">
        <v>1</v>
      </c>
      <c r="G19" s="102"/>
      <c r="H19" s="104"/>
    </row>
    <row r="20" spans="1:8" s="36" customFormat="1" ht="15" customHeight="1" x14ac:dyDescent="0.2">
      <c r="A20" s="58" t="s">
        <v>5</v>
      </c>
      <c r="B20" s="58"/>
      <c r="C20" s="58"/>
      <c r="D20" s="59">
        <f>D18*D19</f>
        <v>47837403.535680003</v>
      </c>
      <c r="E20" s="58"/>
      <c r="F20" s="59">
        <f>F18*F19</f>
        <v>49517491.158720002</v>
      </c>
      <c r="G20" s="102"/>
      <c r="H20" s="104"/>
    </row>
    <row r="21" spans="1:8" s="36" customFormat="1" ht="15" customHeight="1" x14ac:dyDescent="0.2">
      <c r="A21" s="44" t="s">
        <v>33</v>
      </c>
      <c r="B21" s="63"/>
      <c r="C21" s="64"/>
      <c r="D21" s="65"/>
      <c r="E21" s="64"/>
      <c r="F21" s="65"/>
      <c r="G21" s="102"/>
      <c r="H21" s="104"/>
    </row>
    <row r="22" spans="1:8" s="36" customFormat="1" ht="12.75" x14ac:dyDescent="0.2">
      <c r="A22" s="47" t="s">
        <v>8</v>
      </c>
      <c r="B22" s="66">
        <v>7101</v>
      </c>
      <c r="C22" s="49">
        <v>8.08</v>
      </c>
      <c r="D22" s="50">
        <f>$B$22*C22</f>
        <v>57376.08</v>
      </c>
      <c r="E22" s="49">
        <v>8.36</v>
      </c>
      <c r="F22" s="50">
        <f>$B$22*E22</f>
        <v>59364.359999999993</v>
      </c>
      <c r="G22" s="102"/>
      <c r="H22" s="104"/>
    </row>
    <row r="23" spans="1:8" s="36" customFormat="1" ht="12.75" x14ac:dyDescent="0.2">
      <c r="A23" s="47" t="s">
        <v>7</v>
      </c>
      <c r="B23" s="66">
        <v>8003115</v>
      </c>
      <c r="C23" s="54">
        <v>8.1960000000000005E-2</v>
      </c>
      <c r="D23" s="55">
        <f>$B$23*C23</f>
        <v>655935.30540000007</v>
      </c>
      <c r="E23" s="54">
        <v>8.4839999999999999E-2</v>
      </c>
      <c r="F23" s="55">
        <f>$B$23*E23</f>
        <v>678984.27659999998</v>
      </c>
      <c r="G23" s="102"/>
      <c r="H23" s="104"/>
    </row>
    <row r="24" spans="1:8" s="36" customFormat="1" ht="12.75" x14ac:dyDescent="0.2">
      <c r="A24" s="47"/>
      <c r="B24" s="60"/>
      <c r="C24" s="67"/>
      <c r="D24" s="50">
        <f>SUM(D22:D23)</f>
        <v>713311.38540000003</v>
      </c>
      <c r="E24" s="67"/>
      <c r="F24" s="50">
        <f>SUM(F22:F23)</f>
        <v>738348.63659999997</v>
      </c>
      <c r="G24" s="102"/>
      <c r="H24" s="104"/>
    </row>
    <row r="25" spans="1:8" s="36" customFormat="1" ht="12.75" x14ac:dyDescent="0.2">
      <c r="A25" s="47" t="s">
        <v>1</v>
      </c>
      <c r="B25" s="60"/>
      <c r="C25" s="67"/>
      <c r="D25" s="57">
        <v>1</v>
      </c>
      <c r="E25" s="67"/>
      <c r="F25" s="57">
        <v>1</v>
      </c>
      <c r="G25" s="102"/>
      <c r="H25" s="104"/>
    </row>
    <row r="26" spans="1:8" s="36" customFormat="1" ht="12.75" x14ac:dyDescent="0.2">
      <c r="A26" s="58" t="s">
        <v>5</v>
      </c>
      <c r="B26" s="68"/>
      <c r="C26" s="69"/>
      <c r="D26" s="59">
        <f>D24*D25</f>
        <v>713311.38540000003</v>
      </c>
      <c r="E26" s="69"/>
      <c r="F26" s="59">
        <f>F24*F25</f>
        <v>738348.63659999997</v>
      </c>
      <c r="G26" s="102"/>
      <c r="H26" s="104"/>
    </row>
    <row r="27" spans="1:8" s="36" customFormat="1" ht="12.75" x14ac:dyDescent="0.2">
      <c r="A27" s="70" t="s">
        <v>28</v>
      </c>
      <c r="B27" s="63"/>
      <c r="C27" s="71"/>
      <c r="D27" s="65"/>
      <c r="E27" s="71"/>
      <c r="F27" s="65"/>
      <c r="G27" s="102"/>
      <c r="H27" s="104"/>
    </row>
    <row r="28" spans="1:8" s="36" customFormat="1" ht="12.75" x14ac:dyDescent="0.2">
      <c r="A28" s="60" t="s">
        <v>27</v>
      </c>
      <c r="B28" s="66">
        <v>19277</v>
      </c>
      <c r="C28" s="49">
        <v>100.92</v>
      </c>
      <c r="D28" s="50">
        <f>$B$28*C28</f>
        <v>1945434.84</v>
      </c>
      <c r="E28" s="49">
        <v>104.52000000000001</v>
      </c>
      <c r="F28" s="50">
        <f>$B$28*E28</f>
        <v>2014832.0400000003</v>
      </c>
      <c r="G28" s="102"/>
      <c r="H28" s="104"/>
    </row>
    <row r="29" spans="1:8" s="36" customFormat="1" ht="12.75" x14ac:dyDescent="0.2">
      <c r="A29" s="60" t="s">
        <v>7</v>
      </c>
      <c r="B29" s="66">
        <v>70723276</v>
      </c>
      <c r="C29" s="54">
        <v>8.5269999999999999E-2</v>
      </c>
      <c r="D29" s="55">
        <f>$B$29*C29</f>
        <v>6030573.7445200002</v>
      </c>
      <c r="E29" s="54">
        <v>8.8270000000000001E-2</v>
      </c>
      <c r="F29" s="55">
        <f>$B$29*E29</f>
        <v>6242743.5725199999</v>
      </c>
      <c r="G29" s="102"/>
      <c r="H29" s="104"/>
    </row>
    <row r="30" spans="1:8" s="36" customFormat="1" ht="12.75" x14ac:dyDescent="0.2">
      <c r="A30" s="60"/>
      <c r="B30" s="60"/>
      <c r="C30" s="47"/>
      <c r="D30" s="50">
        <f>SUM(D28:D29)</f>
        <v>7976008.58452</v>
      </c>
      <c r="E30" s="47"/>
      <c r="F30" s="50">
        <f>SUM(F28:F29)</f>
        <v>8257575.61252</v>
      </c>
      <c r="G30" s="102"/>
      <c r="H30" s="104"/>
    </row>
    <row r="31" spans="1:8" s="36" customFormat="1" ht="12.75" x14ac:dyDescent="0.2">
      <c r="A31" s="60" t="s">
        <v>1</v>
      </c>
      <c r="B31" s="60"/>
      <c r="C31" s="47"/>
      <c r="D31" s="57">
        <v>1</v>
      </c>
      <c r="E31" s="47"/>
      <c r="F31" s="57">
        <v>1</v>
      </c>
      <c r="G31" s="102"/>
      <c r="H31" s="104"/>
    </row>
    <row r="32" spans="1:8" s="36" customFormat="1" ht="12.75" x14ac:dyDescent="0.2">
      <c r="A32" s="68" t="s">
        <v>5</v>
      </c>
      <c r="B32" s="68"/>
      <c r="C32" s="58"/>
      <c r="D32" s="59">
        <f>D30*D31</f>
        <v>7976008.58452</v>
      </c>
      <c r="E32" s="58"/>
      <c r="F32" s="59">
        <f>F30*F31</f>
        <v>8257575.61252</v>
      </c>
      <c r="G32" s="102"/>
      <c r="H32" s="104"/>
    </row>
    <row r="33" spans="1:8" s="36" customFormat="1" ht="12.75" x14ac:dyDescent="0.2">
      <c r="A33" s="103" t="s">
        <v>26</v>
      </c>
      <c r="B33" s="63"/>
      <c r="C33" s="71"/>
      <c r="D33" s="65"/>
      <c r="E33" s="71"/>
      <c r="F33" s="65"/>
      <c r="G33" s="102"/>
      <c r="H33" s="104"/>
    </row>
    <row r="34" spans="1:8" s="36" customFormat="1" ht="12.75" x14ac:dyDescent="0.2">
      <c r="A34" s="60" t="s">
        <v>8</v>
      </c>
      <c r="B34" s="66">
        <v>34032</v>
      </c>
      <c r="C34" s="49">
        <v>31.44</v>
      </c>
      <c r="D34" s="50">
        <f>$B$34*C34</f>
        <v>1069966.08</v>
      </c>
      <c r="E34" s="49">
        <v>32.200000000000003</v>
      </c>
      <c r="F34" s="50">
        <f>$B$34*E34</f>
        <v>1095830.4000000001</v>
      </c>
      <c r="G34" s="52"/>
      <c r="H34" s="104"/>
    </row>
    <row r="35" spans="1:8" s="36" customFormat="1" ht="12.75" x14ac:dyDescent="0.2">
      <c r="A35" s="60" t="s">
        <v>7</v>
      </c>
      <c r="B35" s="66">
        <v>14302267</v>
      </c>
      <c r="C35" s="72" t="s">
        <v>25</v>
      </c>
      <c r="D35" s="55">
        <v>0</v>
      </c>
      <c r="E35" s="72" t="s">
        <v>25</v>
      </c>
      <c r="F35" s="55">
        <v>0</v>
      </c>
      <c r="G35" s="102"/>
      <c r="H35" s="104"/>
    </row>
    <row r="36" spans="1:8" s="36" customFormat="1" ht="12.75" x14ac:dyDescent="0.2">
      <c r="A36" s="60"/>
      <c r="B36" s="60"/>
      <c r="C36" s="62"/>
      <c r="D36" s="50">
        <f>SUM(D34:D35)</f>
        <v>1069966.08</v>
      </c>
      <c r="E36" s="47"/>
      <c r="F36" s="50">
        <f>SUM(F34:F35)</f>
        <v>1095830.4000000001</v>
      </c>
      <c r="G36" s="102"/>
      <c r="H36" s="104"/>
    </row>
    <row r="37" spans="1:8" s="36" customFormat="1" ht="12.75" x14ac:dyDescent="0.2">
      <c r="A37" s="60" t="s">
        <v>1</v>
      </c>
      <c r="B37" s="60"/>
      <c r="C37" s="47"/>
      <c r="D37" s="57">
        <v>1</v>
      </c>
      <c r="E37" s="47"/>
      <c r="F37" s="57">
        <v>1</v>
      </c>
      <c r="G37" s="102"/>
      <c r="H37" s="104"/>
    </row>
    <row r="38" spans="1:8" s="36" customFormat="1" ht="12.75" x14ac:dyDescent="0.2">
      <c r="A38" s="68" t="s">
        <v>5</v>
      </c>
      <c r="B38" s="68"/>
      <c r="C38" s="58"/>
      <c r="D38" s="59">
        <f>D36*D37</f>
        <v>1069966.08</v>
      </c>
      <c r="E38" s="58"/>
      <c r="F38" s="59">
        <f>F36*F37</f>
        <v>1095830.4000000001</v>
      </c>
      <c r="G38" s="102"/>
      <c r="H38" s="104"/>
    </row>
    <row r="39" spans="1:8" s="36" customFormat="1" ht="12.75" x14ac:dyDescent="0.2">
      <c r="D39" s="73"/>
      <c r="F39" s="73"/>
      <c r="G39" s="102"/>
      <c r="H39" s="104"/>
    </row>
    <row r="40" spans="1:8" s="36" customFormat="1" ht="12.75" x14ac:dyDescent="0.2">
      <c r="D40" s="74"/>
      <c r="F40" s="74"/>
      <c r="G40" s="102"/>
      <c r="H40" s="104"/>
    </row>
    <row r="41" spans="1:8" s="36" customFormat="1" ht="12.75" x14ac:dyDescent="0.2">
      <c r="A41" s="75" t="s">
        <v>78</v>
      </c>
      <c r="B41" s="75"/>
      <c r="G41" s="102"/>
      <c r="H41" s="104"/>
    </row>
    <row r="42" spans="1:8" x14ac:dyDescent="0.25">
      <c r="C42" s="52"/>
      <c r="D42" s="37"/>
      <c r="E42" s="52"/>
      <c r="F42" s="37"/>
      <c r="G42" s="102"/>
    </row>
    <row r="43" spans="1:8" s="36" customFormat="1" ht="13.5" x14ac:dyDescent="0.25">
      <c r="A43" s="38" t="s">
        <v>38</v>
      </c>
      <c r="B43" s="38"/>
      <c r="C43" s="40" t="s">
        <v>83</v>
      </c>
      <c r="D43" s="41"/>
      <c r="E43" s="40" t="s">
        <v>81</v>
      </c>
      <c r="F43" s="41"/>
      <c r="G43" s="102"/>
      <c r="H43" s="104"/>
    </row>
    <row r="44" spans="1:8" s="36" customFormat="1" ht="12.75" x14ac:dyDescent="0.2">
      <c r="B44" s="42" t="s">
        <v>32</v>
      </c>
      <c r="C44" s="42" t="s">
        <v>31</v>
      </c>
      <c r="D44" s="43" t="s">
        <v>0</v>
      </c>
      <c r="E44" s="42" t="s">
        <v>31</v>
      </c>
      <c r="F44" s="43" t="s">
        <v>0</v>
      </c>
      <c r="G44" s="102"/>
      <c r="H44" s="104"/>
    </row>
    <row r="45" spans="1:8" s="36" customFormat="1" ht="12.75" x14ac:dyDescent="0.2">
      <c r="A45" s="44" t="s">
        <v>30</v>
      </c>
      <c r="B45" s="45"/>
      <c r="C45" s="45"/>
      <c r="D45" s="46"/>
      <c r="E45" s="45"/>
      <c r="F45" s="46"/>
      <c r="G45" s="102"/>
      <c r="H45" s="104"/>
    </row>
    <row r="46" spans="1:8" s="36" customFormat="1" ht="12.75" x14ac:dyDescent="0.2">
      <c r="A46" s="47" t="s">
        <v>8</v>
      </c>
      <c r="B46" s="48">
        <v>488105</v>
      </c>
      <c r="C46" s="49">
        <v>21.07</v>
      </c>
      <c r="D46" s="50">
        <f>$B$46*C46</f>
        <v>10284372.35</v>
      </c>
      <c r="E46" s="49">
        <v>21.81</v>
      </c>
      <c r="F46" s="50">
        <f>$B$46*E46</f>
        <v>10645570.049999999</v>
      </c>
      <c r="G46" s="102"/>
      <c r="H46" s="104"/>
    </row>
    <row r="47" spans="1:8" s="36" customFormat="1" ht="12.75" x14ac:dyDescent="0.2">
      <c r="A47" s="53" t="s">
        <v>29</v>
      </c>
      <c r="B47" s="48">
        <v>147307</v>
      </c>
      <c r="C47" s="49">
        <v>8.6300000000000008</v>
      </c>
      <c r="D47" s="50">
        <f>$B$47*C47+$B$47*C46</f>
        <v>4375017.9000000004</v>
      </c>
      <c r="E47" s="49">
        <v>8.93</v>
      </c>
      <c r="F47" s="50">
        <f>$B$47*E47+$B$47*E46</f>
        <v>4528217.18</v>
      </c>
      <c r="G47" s="102"/>
      <c r="H47" s="104"/>
    </row>
    <row r="48" spans="1:8" s="36" customFormat="1" ht="12.75" x14ac:dyDescent="0.2">
      <c r="A48" s="53"/>
      <c r="B48" s="48"/>
      <c r="C48" s="49"/>
      <c r="D48" s="50"/>
      <c r="E48" s="49"/>
      <c r="F48" s="50"/>
      <c r="G48" s="102"/>
      <c r="H48" s="104"/>
    </row>
    <row r="49" spans="1:8" s="36" customFormat="1" ht="12.75" x14ac:dyDescent="0.2">
      <c r="A49" s="53" t="s">
        <v>23</v>
      </c>
      <c r="B49" s="66">
        <v>1506080449</v>
      </c>
      <c r="C49" s="54">
        <v>8.8959999999999997E-2</v>
      </c>
      <c r="D49" s="50">
        <f>$B$49*C49</f>
        <v>133980916.74304</v>
      </c>
      <c r="E49" s="54">
        <v>9.2090000000000005E-2</v>
      </c>
      <c r="F49" s="50">
        <f>$B$49*E49</f>
        <v>138694948.54841</v>
      </c>
      <c r="G49" s="102"/>
      <c r="H49" s="104"/>
    </row>
    <row r="50" spans="1:8" s="36" customFormat="1" ht="12.75" x14ac:dyDescent="0.2">
      <c r="A50" s="53" t="s">
        <v>11</v>
      </c>
      <c r="B50" s="77">
        <v>151323037</v>
      </c>
      <c r="C50" s="54">
        <v>6.3200000000000006E-2</v>
      </c>
      <c r="D50" s="50">
        <f>$B$50*C50</f>
        <v>9563615.9384000003</v>
      </c>
      <c r="E50" s="54">
        <v>6.5420000000000006E-2</v>
      </c>
      <c r="F50" s="50">
        <f>$B$50*E50</f>
        <v>9899553.0805400014</v>
      </c>
      <c r="G50" s="102"/>
      <c r="H50" s="104"/>
    </row>
    <row r="51" spans="1:8" s="36" customFormat="1" ht="12.75" x14ac:dyDescent="0.2">
      <c r="A51" s="47" t="s">
        <v>7</v>
      </c>
      <c r="B51" s="48">
        <v>1657403487</v>
      </c>
      <c r="C51" s="54"/>
      <c r="D51" s="55"/>
      <c r="E51" s="54"/>
      <c r="F51" s="55"/>
      <c r="G51" s="102"/>
      <c r="H51" s="104"/>
    </row>
    <row r="52" spans="1:8" s="36" customFormat="1" ht="12.75" x14ac:dyDescent="0.2">
      <c r="A52" s="47"/>
      <c r="B52" s="47"/>
      <c r="C52" s="47"/>
      <c r="D52" s="50">
        <f>SUM(D46:D50)</f>
        <v>158203922.93144</v>
      </c>
      <c r="E52" s="47"/>
      <c r="F52" s="50">
        <f>SUM(F46:F50)</f>
        <v>163768288.85894999</v>
      </c>
      <c r="G52" s="102"/>
      <c r="H52" s="104"/>
    </row>
    <row r="53" spans="1:8" s="36" customFormat="1" ht="12.75" x14ac:dyDescent="0.2">
      <c r="A53" s="47" t="s">
        <v>1</v>
      </c>
      <c r="B53" s="47"/>
      <c r="C53" s="47"/>
      <c r="D53" s="57">
        <v>1</v>
      </c>
      <c r="E53" s="47"/>
      <c r="F53" s="57">
        <v>1</v>
      </c>
      <c r="G53" s="102"/>
      <c r="H53" s="104"/>
    </row>
    <row r="54" spans="1:8" s="36" customFormat="1" ht="12.75" x14ac:dyDescent="0.2">
      <c r="A54" s="58" t="s">
        <v>5</v>
      </c>
      <c r="B54" s="58"/>
      <c r="C54" s="58"/>
      <c r="D54" s="59">
        <f>D52*D53</f>
        <v>158203922.93144</v>
      </c>
      <c r="E54" s="58"/>
      <c r="F54" s="59">
        <f>F52*F53</f>
        <v>163768288.85894999</v>
      </c>
      <c r="G54" s="102"/>
      <c r="H54" s="104"/>
    </row>
    <row r="55" spans="1:8" s="36" customFormat="1" ht="12.75" x14ac:dyDescent="0.2">
      <c r="A55" s="44" t="s">
        <v>3</v>
      </c>
      <c r="B55" s="78"/>
      <c r="C55" s="45"/>
      <c r="D55" s="46"/>
      <c r="E55" s="45"/>
      <c r="F55" s="46"/>
      <c r="G55" s="102"/>
      <c r="H55" s="104"/>
    </row>
    <row r="56" spans="1:8" s="36" customFormat="1" ht="12.75" x14ac:dyDescent="0.2">
      <c r="A56" s="47" t="s">
        <v>8</v>
      </c>
      <c r="B56" s="66">
        <v>54534</v>
      </c>
      <c r="C56" s="49">
        <v>21.07</v>
      </c>
      <c r="D56" s="50">
        <f>$B$56*C56</f>
        <v>1149031.3800000001</v>
      </c>
      <c r="E56" s="49">
        <v>21.81</v>
      </c>
      <c r="F56" s="50">
        <f>$B$56*E56</f>
        <v>1189386.54</v>
      </c>
      <c r="G56" s="102"/>
      <c r="H56" s="104"/>
    </row>
    <row r="57" spans="1:8" s="36" customFormat="1" ht="12.75" x14ac:dyDescent="0.2">
      <c r="A57" s="53" t="s">
        <v>29</v>
      </c>
      <c r="B57" s="66">
        <v>110035</v>
      </c>
      <c r="C57" s="49">
        <v>8.6300000000000008</v>
      </c>
      <c r="D57" s="50">
        <f>$B$57*C57+$B$57*C56</f>
        <v>3268039.5</v>
      </c>
      <c r="E57" s="49">
        <v>8.93</v>
      </c>
      <c r="F57" s="50">
        <f>$B$57*E57+$B$57*E56</f>
        <v>3382475.8999999994</v>
      </c>
      <c r="G57" s="102"/>
      <c r="H57" s="104"/>
    </row>
    <row r="58" spans="1:8" s="36" customFormat="1" ht="12.75" x14ac:dyDescent="0.2">
      <c r="A58" s="53"/>
      <c r="B58" s="66"/>
      <c r="C58" s="49"/>
      <c r="D58" s="50"/>
      <c r="E58" s="49"/>
      <c r="F58" s="50"/>
      <c r="G58" s="102"/>
      <c r="H58" s="104"/>
    </row>
    <row r="59" spans="1:8" s="36" customFormat="1" ht="12.75" x14ac:dyDescent="0.2">
      <c r="A59" s="53" t="s">
        <v>23</v>
      </c>
      <c r="B59" s="66">
        <v>922376071</v>
      </c>
      <c r="C59" s="54">
        <v>8.8959999999999997E-2</v>
      </c>
      <c r="D59" s="50">
        <f>$B$59*C59</f>
        <v>82054575.276160002</v>
      </c>
      <c r="E59" s="79">
        <v>9.2090000000000005E-2</v>
      </c>
      <c r="F59" s="50">
        <f>$B$59*E59</f>
        <v>84941612.378389999</v>
      </c>
      <c r="G59" s="102"/>
      <c r="H59" s="104"/>
    </row>
    <row r="60" spans="1:8" s="36" customFormat="1" ht="12.75" x14ac:dyDescent="0.2">
      <c r="A60" s="53" t="s">
        <v>22</v>
      </c>
      <c r="B60" s="66">
        <v>503116161</v>
      </c>
      <c r="C60" s="54">
        <v>6.3200000000000006E-2</v>
      </c>
      <c r="D60" s="50">
        <f>$B$60*C60</f>
        <v>31796941.375200003</v>
      </c>
      <c r="E60" s="79">
        <v>6.5420000000000006E-2</v>
      </c>
      <c r="F60" s="50">
        <f>$B$60*E60</f>
        <v>32913859.252620004</v>
      </c>
      <c r="G60" s="102"/>
      <c r="H60" s="104"/>
    </row>
    <row r="61" spans="1:8" s="36" customFormat="1" ht="12.75" x14ac:dyDescent="0.2">
      <c r="A61" s="53" t="s">
        <v>11</v>
      </c>
      <c r="B61" s="77">
        <v>813140158</v>
      </c>
      <c r="C61" s="54">
        <v>4.1079999999999998E-2</v>
      </c>
      <c r="D61" s="50">
        <f>$B$61*C61</f>
        <v>33403797.690639999</v>
      </c>
      <c r="E61" s="79">
        <v>4.2529999999999998E-2</v>
      </c>
      <c r="F61" s="50">
        <f>$B$61*E61</f>
        <v>34582850.919739999</v>
      </c>
      <c r="G61" s="102"/>
      <c r="H61" s="104"/>
    </row>
    <row r="62" spans="1:8" s="36" customFormat="1" ht="12.75" x14ac:dyDescent="0.2">
      <c r="A62" s="47" t="s">
        <v>7</v>
      </c>
      <c r="B62" s="66">
        <v>2238632391</v>
      </c>
      <c r="C62" s="54"/>
      <c r="D62" s="50"/>
      <c r="E62" s="54"/>
      <c r="F62" s="50"/>
      <c r="G62" s="102"/>
      <c r="H62" s="104"/>
    </row>
    <row r="63" spans="1:8" s="36" customFormat="1" ht="12.75" x14ac:dyDescent="0.2">
      <c r="A63" s="47"/>
      <c r="B63" s="60"/>
      <c r="C63" s="47"/>
      <c r="D63" s="50"/>
      <c r="E63" s="47"/>
      <c r="F63" s="50"/>
      <c r="G63" s="102"/>
      <c r="H63" s="104"/>
    </row>
    <row r="64" spans="1:8" s="36" customFormat="1" ht="12.75" x14ac:dyDescent="0.2">
      <c r="A64" s="47" t="s">
        <v>2</v>
      </c>
      <c r="B64" s="80">
        <v>2676032</v>
      </c>
      <c r="C64" s="54">
        <v>10.52</v>
      </c>
      <c r="D64" s="55">
        <f>$B$64*C64</f>
        <v>28151856.640000001</v>
      </c>
      <c r="E64" s="49">
        <v>10.89</v>
      </c>
      <c r="F64" s="55">
        <f>$B$64*E64</f>
        <v>29141988.48</v>
      </c>
      <c r="G64" s="102"/>
      <c r="H64" s="104"/>
    </row>
    <row r="65" spans="1:8" s="36" customFormat="1" ht="12.75" x14ac:dyDescent="0.2">
      <c r="A65" s="47"/>
      <c r="B65" s="60"/>
      <c r="C65" s="47"/>
      <c r="D65" s="50">
        <f>SUM(D56:D64)</f>
        <v>179824241.86199999</v>
      </c>
      <c r="E65" s="47"/>
      <c r="F65" s="50">
        <f>SUM(F56:F64)</f>
        <v>186152173.47074997</v>
      </c>
      <c r="G65" s="102"/>
      <c r="H65" s="104"/>
    </row>
    <row r="66" spans="1:8" s="36" customFormat="1" ht="12.75" x14ac:dyDescent="0.2">
      <c r="A66" s="47" t="s">
        <v>1</v>
      </c>
      <c r="B66" s="60"/>
      <c r="C66" s="47"/>
      <c r="D66" s="57">
        <v>1</v>
      </c>
      <c r="E66" s="47"/>
      <c r="F66" s="57">
        <v>1</v>
      </c>
      <c r="G66" s="102"/>
      <c r="H66" s="104"/>
    </row>
    <row r="67" spans="1:8" s="36" customFormat="1" ht="12.75" x14ac:dyDescent="0.2">
      <c r="A67" s="58" t="s">
        <v>5</v>
      </c>
      <c r="B67" s="68"/>
      <c r="C67" s="58"/>
      <c r="D67" s="59">
        <f>D65*D66</f>
        <v>179824241.86199999</v>
      </c>
      <c r="E67" s="58"/>
      <c r="F67" s="59">
        <f>F65*F66</f>
        <v>186152173.47074997</v>
      </c>
      <c r="G67" s="102"/>
      <c r="H67" s="104"/>
    </row>
    <row r="68" spans="1:8" s="36" customFormat="1" ht="12.75" x14ac:dyDescent="0.2">
      <c r="A68" s="70" t="s">
        <v>4</v>
      </c>
      <c r="B68" s="63"/>
      <c r="C68" s="71"/>
      <c r="D68" s="65"/>
      <c r="E68" s="71"/>
      <c r="F68" s="65"/>
      <c r="G68" s="102"/>
      <c r="H68" s="104"/>
    </row>
    <row r="69" spans="1:8" s="36" customFormat="1" ht="12.75" x14ac:dyDescent="0.2">
      <c r="A69" s="60" t="s">
        <v>8</v>
      </c>
      <c r="B69" s="66">
        <v>25</v>
      </c>
      <c r="C69" s="49">
        <v>21.07</v>
      </c>
      <c r="D69" s="50">
        <f>$B$69*C69</f>
        <v>526.75</v>
      </c>
      <c r="E69" s="49">
        <v>21.81</v>
      </c>
      <c r="F69" s="50">
        <f>$B$69*E69</f>
        <v>545.25</v>
      </c>
      <c r="G69" s="102"/>
      <c r="H69" s="104"/>
    </row>
    <row r="70" spans="1:8" s="36" customFormat="1" ht="12.75" x14ac:dyDescent="0.2">
      <c r="A70" s="53" t="s">
        <v>29</v>
      </c>
      <c r="B70" s="66">
        <v>489</v>
      </c>
      <c r="C70" s="49">
        <v>8.6300000000000008</v>
      </c>
      <c r="D70" s="50">
        <f>$B$70*C70+$B$70*C69</f>
        <v>14523.3</v>
      </c>
      <c r="E70" s="49">
        <v>8.93</v>
      </c>
      <c r="F70" s="50">
        <f>$B$70*E70+$B$70*E69</f>
        <v>15031.86</v>
      </c>
      <c r="G70" s="102"/>
      <c r="H70" s="104"/>
    </row>
    <row r="71" spans="1:8" s="36" customFormat="1" ht="12.75" x14ac:dyDescent="0.2">
      <c r="A71" s="60" t="s">
        <v>7</v>
      </c>
      <c r="B71" s="66">
        <v>3562939</v>
      </c>
      <c r="C71" s="54">
        <v>0.10177</v>
      </c>
      <c r="D71" s="50">
        <f>$B$71*C71</f>
        <v>362600.30203000002</v>
      </c>
      <c r="E71" s="54">
        <v>0.10536</v>
      </c>
      <c r="F71" s="50">
        <f>$B$71*E71</f>
        <v>375391.25303999998</v>
      </c>
      <c r="G71" s="102"/>
      <c r="H71" s="104"/>
    </row>
    <row r="72" spans="1:8" s="36" customFormat="1" ht="12.75" x14ac:dyDescent="0.2">
      <c r="A72" s="47" t="s">
        <v>2</v>
      </c>
      <c r="B72" s="66">
        <v>19056</v>
      </c>
      <c r="C72" s="49">
        <v>2.63</v>
      </c>
      <c r="D72" s="55">
        <f>$B$72*C72</f>
        <v>50117.279999999999</v>
      </c>
      <c r="E72" s="49">
        <v>2.7225000000000001</v>
      </c>
      <c r="F72" s="55">
        <f>$B$72*E72</f>
        <v>51879.96</v>
      </c>
      <c r="G72" s="102"/>
      <c r="H72" s="104"/>
    </row>
    <row r="73" spans="1:8" s="36" customFormat="1" ht="12.75" x14ac:dyDescent="0.2">
      <c r="A73" s="60"/>
      <c r="B73" s="60"/>
      <c r="C73" s="47"/>
      <c r="D73" s="50">
        <f>SUM(D69:D72)</f>
        <v>427767.63202999998</v>
      </c>
      <c r="E73" s="47"/>
      <c r="F73" s="50">
        <f>SUM(F69:F72)</f>
        <v>442848.32303999999</v>
      </c>
      <c r="G73" s="102"/>
      <c r="H73" s="104"/>
    </row>
    <row r="74" spans="1:8" s="36" customFormat="1" ht="12.75" x14ac:dyDescent="0.2">
      <c r="A74" s="60" t="s">
        <v>1</v>
      </c>
      <c r="B74" s="60"/>
      <c r="C74" s="47"/>
      <c r="D74" s="57">
        <v>1</v>
      </c>
      <c r="E74" s="47"/>
      <c r="F74" s="57">
        <v>1</v>
      </c>
      <c r="G74" s="102"/>
      <c r="H74" s="104"/>
    </row>
    <row r="75" spans="1:8" s="36" customFormat="1" ht="12.75" x14ac:dyDescent="0.2">
      <c r="A75" s="68" t="s">
        <v>5</v>
      </c>
      <c r="B75" s="68"/>
      <c r="C75" s="58"/>
      <c r="D75" s="59">
        <f>D73*D74</f>
        <v>427767.63202999998</v>
      </c>
      <c r="E75" s="58"/>
      <c r="F75" s="59">
        <f>F73*F74</f>
        <v>442848.32303999999</v>
      </c>
      <c r="G75" s="102"/>
      <c r="H75" s="104"/>
    </row>
    <row r="76" spans="1:8" s="36" customFormat="1" ht="12.75" x14ac:dyDescent="0.2">
      <c r="A76" s="70" t="s">
        <v>28</v>
      </c>
      <c r="B76" s="63"/>
      <c r="C76" s="81"/>
      <c r="D76" s="65"/>
      <c r="E76" s="81"/>
      <c r="F76" s="65"/>
      <c r="G76" s="102"/>
      <c r="H76" s="104"/>
    </row>
    <row r="77" spans="1:8" s="36" customFormat="1" ht="12.75" x14ac:dyDescent="0.2">
      <c r="A77" s="60" t="s">
        <v>27</v>
      </c>
      <c r="B77" s="66">
        <v>969</v>
      </c>
      <c r="C77" s="49">
        <v>252.84</v>
      </c>
      <c r="D77" s="50">
        <f>$B$77*C77</f>
        <v>245001.96</v>
      </c>
      <c r="E77" s="49">
        <v>261.71999999999997</v>
      </c>
      <c r="F77" s="50">
        <f>$B$77*E77</f>
        <v>253606.67999999996</v>
      </c>
      <c r="G77" s="102"/>
      <c r="H77" s="104"/>
    </row>
    <row r="78" spans="1:8" s="36" customFormat="1" ht="12.75" x14ac:dyDescent="0.2">
      <c r="A78" s="53" t="s">
        <v>29</v>
      </c>
      <c r="B78" s="66">
        <v>7</v>
      </c>
      <c r="C78" s="49">
        <v>103.56</v>
      </c>
      <c r="D78" s="50">
        <f>+$B$78*C78+$B$78*C77</f>
        <v>2494.8000000000002</v>
      </c>
      <c r="E78" s="49">
        <v>107.16</v>
      </c>
      <c r="F78" s="50">
        <f>+$B$78*E78+$B$78*E77</f>
        <v>2582.16</v>
      </c>
      <c r="G78" s="102"/>
      <c r="H78" s="104"/>
    </row>
    <row r="79" spans="1:8" s="36" customFormat="1" ht="15" customHeight="1" x14ac:dyDescent="0.2">
      <c r="A79" s="53" t="s">
        <v>23</v>
      </c>
      <c r="B79" s="66">
        <v>5200000</v>
      </c>
      <c r="C79" s="54">
        <v>8.8959999999999997E-2</v>
      </c>
      <c r="D79" s="50">
        <f>$B$79*C79</f>
        <v>462592</v>
      </c>
      <c r="E79" s="54">
        <v>9.2090000000000005E-2</v>
      </c>
      <c r="F79" s="50">
        <f>$B$79*E79</f>
        <v>478868</v>
      </c>
      <c r="G79" s="102"/>
      <c r="H79" s="104"/>
    </row>
    <row r="80" spans="1:8" s="36" customFormat="1" ht="15" customHeight="1" x14ac:dyDescent="0.2">
      <c r="A80" s="53" t="s">
        <v>22</v>
      </c>
      <c r="B80" s="66"/>
      <c r="C80" s="54">
        <v>6.3200000000000006E-2</v>
      </c>
      <c r="D80" s="50"/>
      <c r="E80" s="54">
        <v>6.5420000000000006E-2</v>
      </c>
      <c r="F80" s="50"/>
      <c r="G80" s="102"/>
      <c r="H80" s="104"/>
    </row>
    <row r="81" spans="1:8" s="36" customFormat="1" ht="27" customHeight="1" x14ac:dyDescent="0.2">
      <c r="A81" s="60"/>
      <c r="B81" s="60"/>
      <c r="C81" s="47"/>
      <c r="D81" s="50">
        <f>SUM(D77:D79)</f>
        <v>710088.76</v>
      </c>
      <c r="E81" s="47"/>
      <c r="F81" s="50">
        <f>SUM(F77:F79)</f>
        <v>735056.84</v>
      </c>
      <c r="G81" s="102"/>
      <c r="H81" s="104"/>
    </row>
    <row r="82" spans="1:8" s="36" customFormat="1" ht="12.75" x14ac:dyDescent="0.2">
      <c r="A82" s="60" t="s">
        <v>1</v>
      </c>
      <c r="B82" s="60"/>
      <c r="C82" s="47"/>
      <c r="D82" s="57">
        <v>1</v>
      </c>
      <c r="E82" s="47"/>
      <c r="F82" s="57">
        <v>1</v>
      </c>
      <c r="G82" s="102"/>
      <c r="H82" s="104"/>
    </row>
    <row r="83" spans="1:8" s="36" customFormat="1" ht="12.75" x14ac:dyDescent="0.2">
      <c r="A83" s="68" t="s">
        <v>5</v>
      </c>
      <c r="B83" s="68"/>
      <c r="C83" s="58"/>
      <c r="D83" s="59">
        <f>D81*D82</f>
        <v>710088.76</v>
      </c>
      <c r="E83" s="58"/>
      <c r="F83" s="59">
        <f>F81*F82</f>
        <v>735056.84</v>
      </c>
      <c r="G83" s="102"/>
      <c r="H83" s="104"/>
    </row>
    <row r="84" spans="1:8" s="36" customFormat="1" ht="12.75" x14ac:dyDescent="0.2">
      <c r="A84" s="70" t="s">
        <v>26</v>
      </c>
      <c r="B84" s="63"/>
      <c r="C84" s="71"/>
      <c r="D84" s="65"/>
      <c r="E84" s="71"/>
      <c r="F84" s="65"/>
      <c r="G84" s="102"/>
      <c r="H84" s="104"/>
    </row>
    <row r="85" spans="1:8" s="36" customFormat="1" ht="12.75" x14ac:dyDescent="0.2">
      <c r="A85" s="60" t="s">
        <v>8</v>
      </c>
      <c r="B85" s="66">
        <v>3688</v>
      </c>
      <c r="C85" s="49">
        <v>120.41</v>
      </c>
      <c r="D85" s="50">
        <f>$B$85*C85</f>
        <v>444072.08</v>
      </c>
      <c r="E85" s="49">
        <v>122.92</v>
      </c>
      <c r="F85" s="50">
        <f>$B$85*E85</f>
        <v>453328.96</v>
      </c>
      <c r="G85" s="102"/>
      <c r="H85" s="104"/>
    </row>
    <row r="86" spans="1:8" s="36" customFormat="1" ht="12.75" x14ac:dyDescent="0.2">
      <c r="A86" s="60" t="s">
        <v>7</v>
      </c>
      <c r="B86" s="66">
        <v>4950000</v>
      </c>
      <c r="C86" s="72" t="s">
        <v>25</v>
      </c>
      <c r="D86" s="55">
        <v>0</v>
      </c>
      <c r="E86" s="72" t="s">
        <v>25</v>
      </c>
      <c r="F86" s="55">
        <v>0</v>
      </c>
      <c r="G86" s="102"/>
      <c r="H86" s="104"/>
    </row>
    <row r="87" spans="1:8" s="36" customFormat="1" ht="12.75" x14ac:dyDescent="0.2">
      <c r="A87" s="60"/>
      <c r="B87" s="60"/>
      <c r="C87" s="47"/>
      <c r="D87" s="50">
        <f>SUM(D85:D86)</f>
        <v>444072.08</v>
      </c>
      <c r="E87" s="47"/>
      <c r="F87" s="50">
        <f>SUM(F85:F86)</f>
        <v>453328.96</v>
      </c>
      <c r="G87" s="102"/>
      <c r="H87" s="104"/>
    </row>
    <row r="88" spans="1:8" s="36" customFormat="1" ht="12.75" x14ac:dyDescent="0.2">
      <c r="A88" s="60" t="s">
        <v>1</v>
      </c>
      <c r="B88" s="60"/>
      <c r="C88" s="47"/>
      <c r="D88" s="57">
        <v>1</v>
      </c>
      <c r="E88" s="47"/>
      <c r="F88" s="57">
        <v>1</v>
      </c>
      <c r="G88" s="102"/>
      <c r="H88" s="104"/>
    </row>
    <row r="89" spans="1:8" s="36" customFormat="1" ht="12.75" x14ac:dyDescent="0.2">
      <c r="A89" s="68" t="s">
        <v>5</v>
      </c>
      <c r="B89" s="68"/>
      <c r="C89" s="58"/>
      <c r="D89" s="59">
        <f>D87*D88</f>
        <v>444072.08</v>
      </c>
      <c r="E89" s="58"/>
      <c r="F89" s="59">
        <f>F87*F88</f>
        <v>453328.96</v>
      </c>
      <c r="G89" s="102"/>
      <c r="H89" s="104"/>
    </row>
    <row r="90" spans="1:8" s="36" customFormat="1" ht="12.75" x14ac:dyDescent="0.2">
      <c r="A90" s="44" t="s">
        <v>24</v>
      </c>
      <c r="B90" s="78"/>
      <c r="C90" s="45"/>
      <c r="D90" s="46"/>
      <c r="E90" s="45"/>
      <c r="F90" s="46"/>
      <c r="G90" s="102"/>
      <c r="H90" s="104"/>
    </row>
    <row r="91" spans="1:8" s="36" customFormat="1" ht="12.75" x14ac:dyDescent="0.2">
      <c r="A91" s="47" t="s">
        <v>8</v>
      </c>
      <c r="B91" s="66">
        <v>24150</v>
      </c>
      <c r="C91" s="49">
        <v>31.35</v>
      </c>
      <c r="D91" s="50">
        <f>$B$91*C91</f>
        <v>757102.5</v>
      </c>
      <c r="E91" s="49">
        <v>32.450000000000003</v>
      </c>
      <c r="F91" s="50">
        <f>$B$91*E91</f>
        <v>783667.50000000012</v>
      </c>
      <c r="G91" s="102"/>
      <c r="H91" s="104"/>
    </row>
    <row r="92" spans="1:8" s="36" customFormat="1" ht="12.75" x14ac:dyDescent="0.2">
      <c r="A92" s="53"/>
      <c r="B92" s="66"/>
      <c r="C92" s="61"/>
      <c r="D92" s="50"/>
      <c r="E92" s="61"/>
      <c r="F92" s="50"/>
      <c r="G92" s="102"/>
      <c r="H92" s="104"/>
    </row>
    <row r="93" spans="1:8" s="36" customFormat="1" ht="12.75" x14ac:dyDescent="0.2">
      <c r="A93" s="53" t="s">
        <v>23</v>
      </c>
      <c r="B93" s="66">
        <v>262314542</v>
      </c>
      <c r="C93" s="54">
        <v>8.8959999999999997E-2</v>
      </c>
      <c r="D93" s="50">
        <f>$B$93*C93</f>
        <v>23335501.656319998</v>
      </c>
      <c r="E93" s="54">
        <v>9.2090000000000005E-2</v>
      </c>
      <c r="F93" s="50">
        <f>$B$93*E93</f>
        <v>24156546.17278</v>
      </c>
      <c r="G93" s="102"/>
      <c r="H93" s="104"/>
    </row>
    <row r="94" spans="1:8" s="36" customFormat="1" ht="12.75" x14ac:dyDescent="0.2">
      <c r="A94" s="53" t="s">
        <v>22</v>
      </c>
      <c r="B94" s="66">
        <v>197998497</v>
      </c>
      <c r="C94" s="54">
        <v>6.3200000000000006E-2</v>
      </c>
      <c r="D94" s="50">
        <f>$B$94*C94</f>
        <v>12513505.010400001</v>
      </c>
      <c r="E94" s="54">
        <v>6.5420000000000006E-2</v>
      </c>
      <c r="F94" s="50">
        <f>$B$94*E94</f>
        <v>12953061.673740001</v>
      </c>
      <c r="G94" s="102"/>
      <c r="H94" s="104"/>
    </row>
    <row r="95" spans="1:8" s="36" customFormat="1" ht="12.75" x14ac:dyDescent="0.2">
      <c r="A95" s="53" t="s">
        <v>11</v>
      </c>
      <c r="B95" s="77">
        <v>2636660897</v>
      </c>
      <c r="C95" s="54">
        <v>4.1079999999999998E-2</v>
      </c>
      <c r="D95" s="50">
        <f>$B$95*C95</f>
        <v>108314029.64875999</v>
      </c>
      <c r="E95" s="54">
        <v>4.2529999999999998E-2</v>
      </c>
      <c r="F95" s="50">
        <f>$B$95*E95</f>
        <v>112137187.94940999</v>
      </c>
      <c r="G95" s="102"/>
      <c r="H95" s="104"/>
    </row>
    <row r="96" spans="1:8" s="36" customFormat="1" ht="12.75" x14ac:dyDescent="0.2">
      <c r="A96" s="47" t="s">
        <v>7</v>
      </c>
      <c r="B96" s="66">
        <v>3096973936</v>
      </c>
      <c r="C96" s="61"/>
      <c r="D96" s="50"/>
      <c r="E96" s="61"/>
      <c r="F96" s="50"/>
      <c r="G96" s="102"/>
      <c r="H96" s="104"/>
    </row>
    <row r="97" spans="1:8" s="36" customFormat="1" ht="12.75" x14ac:dyDescent="0.2">
      <c r="A97" s="47"/>
      <c r="B97" s="60"/>
      <c r="C97" s="82"/>
      <c r="D97" s="50"/>
      <c r="E97" s="82"/>
      <c r="F97" s="50"/>
      <c r="G97" s="102"/>
      <c r="H97" s="104"/>
    </row>
    <row r="98" spans="1:8" s="36" customFormat="1" ht="12.75" x14ac:dyDescent="0.2">
      <c r="A98" s="47" t="s">
        <v>2</v>
      </c>
      <c r="B98" s="80">
        <v>7165469</v>
      </c>
      <c r="C98" s="49">
        <v>10.52</v>
      </c>
      <c r="D98" s="55">
        <f>$B$98*C98</f>
        <v>75380733.879999995</v>
      </c>
      <c r="E98" s="49">
        <v>10.89</v>
      </c>
      <c r="F98" s="55">
        <f>$B$98*E98</f>
        <v>78031957.410000011</v>
      </c>
      <c r="G98" s="102"/>
      <c r="H98" s="104"/>
    </row>
    <row r="99" spans="1:8" s="36" customFormat="1" ht="12.75" x14ac:dyDescent="0.2">
      <c r="A99" s="47"/>
      <c r="B99" s="60"/>
      <c r="C99" s="47"/>
      <c r="D99" s="50">
        <f>SUM(D91:D98)</f>
        <v>220300872.69547999</v>
      </c>
      <c r="E99" s="47"/>
      <c r="F99" s="50">
        <f>SUM(F91:F98)</f>
        <v>228062420.70592999</v>
      </c>
      <c r="G99" s="102"/>
      <c r="H99" s="104"/>
    </row>
    <row r="100" spans="1:8" s="36" customFormat="1" ht="12.75" x14ac:dyDescent="0.2">
      <c r="A100" s="47" t="s">
        <v>1</v>
      </c>
      <c r="B100" s="60"/>
      <c r="C100" s="47"/>
      <c r="D100" s="57">
        <v>1</v>
      </c>
      <c r="E100" s="47"/>
      <c r="F100" s="57">
        <v>1</v>
      </c>
      <c r="G100" s="102"/>
      <c r="H100" s="104"/>
    </row>
    <row r="101" spans="1:8" s="36" customFormat="1" ht="12.75" x14ac:dyDescent="0.2">
      <c r="A101" s="58" t="s">
        <v>5</v>
      </c>
      <c r="B101" s="68"/>
      <c r="C101" s="58"/>
      <c r="D101" s="59">
        <f>D99*D100</f>
        <v>220300872.69547999</v>
      </c>
      <c r="E101" s="58"/>
      <c r="F101" s="59">
        <f>F99*F100</f>
        <v>228062420.70592999</v>
      </c>
      <c r="G101" s="102"/>
      <c r="H101" s="104"/>
    </row>
    <row r="102" spans="1:8" s="36" customFormat="1" ht="12.75" x14ac:dyDescent="0.2">
      <c r="A102" s="70" t="s">
        <v>21</v>
      </c>
      <c r="B102" s="63"/>
      <c r="C102" s="71"/>
      <c r="D102" s="65"/>
      <c r="E102" s="71"/>
      <c r="F102" s="65"/>
      <c r="G102" s="102"/>
      <c r="H102" s="104"/>
    </row>
    <row r="103" spans="1:8" s="36" customFormat="1" ht="12.75" x14ac:dyDescent="0.2">
      <c r="A103" s="60" t="s">
        <v>8</v>
      </c>
      <c r="B103" s="66">
        <v>222</v>
      </c>
      <c r="C103" s="49">
        <v>31.35</v>
      </c>
      <c r="D103" s="50">
        <f>$B$103*C103</f>
        <v>6959.7000000000007</v>
      </c>
      <c r="E103" s="49">
        <v>32.450000000000003</v>
      </c>
      <c r="F103" s="50">
        <f>$B$103*E103</f>
        <v>7203.9000000000005</v>
      </c>
      <c r="G103" s="102"/>
      <c r="H103" s="104"/>
    </row>
    <row r="104" spans="1:8" s="36" customFormat="1" ht="12.75" x14ac:dyDescent="0.2">
      <c r="A104" s="60" t="s">
        <v>7</v>
      </c>
      <c r="B104" s="66">
        <v>4844453</v>
      </c>
      <c r="C104" s="54">
        <v>0.10177</v>
      </c>
      <c r="D104" s="50">
        <f>$B$104*C104</f>
        <v>493019.98180999997</v>
      </c>
      <c r="E104" s="54">
        <v>0.10536</v>
      </c>
      <c r="F104" s="50">
        <f>$B$104*E104</f>
        <v>510411.56808</v>
      </c>
      <c r="G104" s="102"/>
      <c r="H104" s="104"/>
    </row>
    <row r="105" spans="1:8" s="36" customFormat="1" ht="12.75" x14ac:dyDescent="0.2">
      <c r="A105" s="47" t="s">
        <v>2</v>
      </c>
      <c r="B105" s="66">
        <v>40498</v>
      </c>
      <c r="C105" s="49">
        <v>2.63</v>
      </c>
      <c r="D105" s="55">
        <f>$B$105*C105</f>
        <v>106509.73999999999</v>
      </c>
      <c r="E105" s="49">
        <v>2.7225000000000001</v>
      </c>
      <c r="F105" s="55">
        <f>$B$105*E105</f>
        <v>110255.80500000001</v>
      </c>
      <c r="G105" s="102"/>
      <c r="H105" s="104"/>
    </row>
    <row r="106" spans="1:8" s="36" customFormat="1" ht="12.75" x14ac:dyDescent="0.2">
      <c r="A106" s="60"/>
      <c r="B106" s="60"/>
      <c r="C106" s="47"/>
      <c r="D106" s="50">
        <f>SUM(D103:D105)</f>
        <v>606489.42180999997</v>
      </c>
      <c r="E106" s="47"/>
      <c r="F106" s="50">
        <f>SUM(F103:F105)</f>
        <v>627871.27308000007</v>
      </c>
      <c r="G106" s="102"/>
      <c r="H106" s="104"/>
    </row>
    <row r="107" spans="1:8" s="36" customFormat="1" ht="12.75" x14ac:dyDescent="0.2">
      <c r="A107" s="60" t="s">
        <v>1</v>
      </c>
      <c r="B107" s="60"/>
      <c r="C107" s="47"/>
      <c r="D107" s="57">
        <v>1</v>
      </c>
      <c r="E107" s="47"/>
      <c r="F107" s="57">
        <v>1</v>
      </c>
      <c r="G107" s="102"/>
      <c r="H107" s="104"/>
    </row>
    <row r="108" spans="1:8" s="36" customFormat="1" ht="12.75" x14ac:dyDescent="0.2">
      <c r="A108" s="68" t="s">
        <v>5</v>
      </c>
      <c r="B108" s="68"/>
      <c r="C108" s="58"/>
      <c r="D108" s="59">
        <f>D106*D107</f>
        <v>606489.42180999997</v>
      </c>
      <c r="E108" s="58"/>
      <c r="F108" s="59">
        <f>F106*F107</f>
        <v>627871.27308000007</v>
      </c>
      <c r="G108" s="102"/>
      <c r="H108" s="104"/>
    </row>
    <row r="109" spans="1:8" s="36" customFormat="1" ht="12.75" x14ac:dyDescent="0.2">
      <c r="A109" s="70" t="s">
        <v>20</v>
      </c>
      <c r="B109" s="63"/>
      <c r="C109" s="71"/>
      <c r="D109" s="65"/>
      <c r="E109" s="71"/>
      <c r="F109" s="65"/>
      <c r="G109" s="102"/>
      <c r="H109" s="104"/>
    </row>
    <row r="110" spans="1:8" s="36" customFormat="1" ht="12.75" x14ac:dyDescent="0.2">
      <c r="A110" s="60" t="s">
        <v>8</v>
      </c>
      <c r="B110" s="66">
        <v>4018</v>
      </c>
      <c r="C110" s="49">
        <v>0</v>
      </c>
      <c r="D110" s="50">
        <f>B110*C110</f>
        <v>0</v>
      </c>
      <c r="E110" s="61">
        <v>0</v>
      </c>
      <c r="F110" s="50">
        <f>+B110*E110</f>
        <v>0</v>
      </c>
      <c r="G110" s="102"/>
      <c r="H110" s="104"/>
    </row>
    <row r="111" spans="1:8" s="36" customFormat="1" ht="12.75" x14ac:dyDescent="0.2">
      <c r="A111" s="60" t="s">
        <v>7</v>
      </c>
      <c r="B111" s="66">
        <v>1918342024</v>
      </c>
      <c r="C111" s="54">
        <v>3.8589999999999999E-2</v>
      </c>
      <c r="D111" s="50">
        <f>$B$111*C111</f>
        <v>74028818.706159994</v>
      </c>
      <c r="E111" s="54">
        <v>3.9949999999999999E-2</v>
      </c>
      <c r="F111" s="50">
        <f>$B$111*E111</f>
        <v>76637763.858799994</v>
      </c>
      <c r="G111" s="102"/>
      <c r="H111" s="104"/>
    </row>
    <row r="112" spans="1:8" s="36" customFormat="1" ht="12.75" x14ac:dyDescent="0.2">
      <c r="A112" s="47" t="s">
        <v>2</v>
      </c>
      <c r="B112" s="66">
        <v>4616958</v>
      </c>
      <c r="C112" s="49">
        <v>8.92</v>
      </c>
      <c r="D112" s="55">
        <f>$B$112*C112</f>
        <v>41183265.359999999</v>
      </c>
      <c r="E112" s="49">
        <v>9.23</v>
      </c>
      <c r="F112" s="55">
        <f>$B$112*E112</f>
        <v>42614522.340000004</v>
      </c>
      <c r="G112" s="102"/>
      <c r="H112" s="104"/>
    </row>
    <row r="113" spans="1:8" s="36" customFormat="1" ht="12.75" x14ac:dyDescent="0.2">
      <c r="A113" s="60"/>
      <c r="B113" s="60"/>
      <c r="C113" s="47"/>
      <c r="D113" s="50">
        <f>SUM(D110:D112)</f>
        <v>115212084.06615999</v>
      </c>
      <c r="E113" s="47"/>
      <c r="F113" s="50">
        <f>SUM(F110:F112)</f>
        <v>119252286.1988</v>
      </c>
      <c r="G113" s="102"/>
      <c r="H113" s="104"/>
    </row>
    <row r="114" spans="1:8" s="36" customFormat="1" ht="27" customHeight="1" x14ac:dyDescent="0.2">
      <c r="A114" s="60" t="s">
        <v>1</v>
      </c>
      <c r="B114" s="60"/>
      <c r="C114" s="47"/>
      <c r="D114" s="57">
        <v>1</v>
      </c>
      <c r="E114" s="47"/>
      <c r="F114" s="57">
        <v>1</v>
      </c>
      <c r="G114" s="102"/>
      <c r="H114" s="104"/>
    </row>
    <row r="115" spans="1:8" s="36" customFormat="1" ht="15" customHeight="1" x14ac:dyDescent="0.2">
      <c r="A115" s="68" t="s">
        <v>5</v>
      </c>
      <c r="B115" s="68"/>
      <c r="C115" s="58"/>
      <c r="D115" s="59">
        <f>D113*D114</f>
        <v>115212084.06615999</v>
      </c>
      <c r="E115" s="58"/>
      <c r="F115" s="59">
        <f>F113*F114</f>
        <v>119252286.1988</v>
      </c>
      <c r="G115" s="102"/>
      <c r="H115" s="104"/>
    </row>
    <row r="116" spans="1:8" s="36" customFormat="1" ht="27" customHeight="1" x14ac:dyDescent="0.2">
      <c r="A116" s="70" t="s">
        <v>19</v>
      </c>
      <c r="B116" s="63"/>
      <c r="C116" s="71"/>
      <c r="D116" s="65"/>
      <c r="E116" s="71"/>
      <c r="F116" s="65"/>
      <c r="G116" s="102"/>
      <c r="H116" s="104"/>
    </row>
    <row r="117" spans="1:8" s="36" customFormat="1" ht="12.75" x14ac:dyDescent="0.2">
      <c r="A117" s="60" t="s">
        <v>8</v>
      </c>
      <c r="B117" s="66">
        <v>27</v>
      </c>
      <c r="C117" s="49">
        <v>0</v>
      </c>
      <c r="D117" s="50">
        <f>B117*C117</f>
        <v>0</v>
      </c>
      <c r="E117" s="61">
        <v>0</v>
      </c>
      <c r="F117" s="50">
        <f>+B117*E117</f>
        <v>0</v>
      </c>
      <c r="G117" s="102"/>
      <c r="H117" s="104"/>
    </row>
    <row r="118" spans="1:8" s="36" customFormat="1" ht="12.75" x14ac:dyDescent="0.2">
      <c r="A118" s="60" t="s">
        <v>7</v>
      </c>
      <c r="B118" s="66">
        <v>754609</v>
      </c>
      <c r="C118" s="54">
        <v>9.0050000000000005E-2</v>
      </c>
      <c r="D118" s="50">
        <f>$B$118*C118</f>
        <v>67952.54045</v>
      </c>
      <c r="E118" s="54">
        <v>9.3200000000000005E-2</v>
      </c>
      <c r="F118" s="50">
        <f>$B$118*E118</f>
        <v>70329.558799999999</v>
      </c>
      <c r="G118" s="102"/>
      <c r="H118" s="104"/>
    </row>
    <row r="119" spans="1:8" s="36" customFormat="1" ht="12.75" x14ac:dyDescent="0.2">
      <c r="A119" s="47" t="s">
        <v>2</v>
      </c>
      <c r="B119" s="66">
        <v>11916</v>
      </c>
      <c r="C119" s="49">
        <v>2.23</v>
      </c>
      <c r="D119" s="55">
        <f>$B$119*C119</f>
        <v>26572.68</v>
      </c>
      <c r="E119" s="49">
        <v>2.3075000000000001</v>
      </c>
      <c r="F119" s="55">
        <f>$B$119*E119</f>
        <v>27496.170000000002</v>
      </c>
      <c r="G119" s="102"/>
      <c r="H119" s="104"/>
    </row>
    <row r="120" spans="1:8" s="36" customFormat="1" ht="12.75" x14ac:dyDescent="0.2">
      <c r="A120" s="60"/>
      <c r="B120" s="60"/>
      <c r="C120" s="47"/>
      <c r="D120" s="50">
        <f>SUM(D117:D119)</f>
        <v>94525.220449999993</v>
      </c>
      <c r="E120" s="47"/>
      <c r="F120" s="50">
        <f>SUM(F117:F119)</f>
        <v>97825.728799999997</v>
      </c>
      <c r="G120" s="102"/>
      <c r="H120" s="104"/>
    </row>
    <row r="121" spans="1:8" s="36" customFormat="1" ht="12.75" x14ac:dyDescent="0.2">
      <c r="A121" s="60" t="s">
        <v>1</v>
      </c>
      <c r="B121" s="60"/>
      <c r="C121" s="47"/>
      <c r="D121" s="57">
        <v>1</v>
      </c>
      <c r="E121" s="47"/>
      <c r="F121" s="57">
        <v>1</v>
      </c>
      <c r="G121" s="102"/>
      <c r="H121" s="104"/>
    </row>
    <row r="122" spans="1:8" s="36" customFormat="1" ht="12.75" x14ac:dyDescent="0.2">
      <c r="A122" s="68" t="s">
        <v>5</v>
      </c>
      <c r="B122" s="68"/>
      <c r="C122" s="58"/>
      <c r="D122" s="59">
        <f>D120*D121</f>
        <v>94525.220449999993</v>
      </c>
      <c r="E122" s="58"/>
      <c r="F122" s="59">
        <f>F120*F121</f>
        <v>97825.728799999997</v>
      </c>
      <c r="G122" s="102"/>
      <c r="H122" s="104"/>
    </row>
    <row r="123" spans="1:8" s="36" customFormat="1" ht="12.75" x14ac:dyDescent="0.2">
      <c r="A123" s="78"/>
      <c r="B123" s="78"/>
      <c r="C123" s="83"/>
      <c r="D123" s="84"/>
      <c r="E123" s="83"/>
      <c r="F123" s="84"/>
      <c r="G123" s="102"/>
      <c r="H123" s="104"/>
    </row>
    <row r="124" spans="1:8" s="36" customFormat="1" ht="12.75" x14ac:dyDescent="0.2">
      <c r="A124" s="70" t="s">
        <v>18</v>
      </c>
      <c r="B124" s="63"/>
      <c r="C124" s="71"/>
      <c r="D124" s="65"/>
      <c r="E124" s="71"/>
      <c r="F124" s="65"/>
      <c r="G124" s="102"/>
      <c r="H124" s="104"/>
    </row>
    <row r="125" spans="1:8" s="36" customFormat="1" ht="12.75" x14ac:dyDescent="0.2">
      <c r="A125" s="60" t="s">
        <v>8</v>
      </c>
      <c r="B125" s="66">
        <v>524</v>
      </c>
      <c r="C125" s="49">
        <v>0</v>
      </c>
      <c r="D125" s="50">
        <f>B125*C125</f>
        <v>0</v>
      </c>
      <c r="E125" s="61">
        <v>0</v>
      </c>
      <c r="F125" s="50">
        <f>+B125*E125</f>
        <v>0</v>
      </c>
      <c r="G125" s="102"/>
      <c r="H125" s="104"/>
    </row>
    <row r="126" spans="1:8" s="36" customFormat="1" ht="12.75" x14ac:dyDescent="0.2">
      <c r="A126" s="60" t="s">
        <v>7</v>
      </c>
      <c r="B126" s="66">
        <v>1751048340</v>
      </c>
      <c r="C126" s="54">
        <v>3.5499999999999997E-2</v>
      </c>
      <c r="D126" s="50">
        <f>$B$126*C126</f>
        <v>62162216.069999993</v>
      </c>
      <c r="E126" s="85">
        <v>3.6749999999999998E-2</v>
      </c>
      <c r="F126" s="50">
        <f>$B$126*E126</f>
        <v>64351026.494999997</v>
      </c>
      <c r="G126" s="102"/>
      <c r="H126" s="104"/>
    </row>
    <row r="127" spans="1:8" s="36" customFormat="1" ht="15.6" customHeight="1" x14ac:dyDescent="0.2">
      <c r="A127" s="47" t="s">
        <v>2</v>
      </c>
      <c r="B127" s="86">
        <v>3559759</v>
      </c>
      <c r="C127" s="49">
        <v>7.56</v>
      </c>
      <c r="D127" s="55">
        <f>$B$127*C127</f>
        <v>26911778.039999999</v>
      </c>
      <c r="E127" s="49">
        <v>7.83</v>
      </c>
      <c r="F127" s="55">
        <f>$B$127*E127</f>
        <v>27872912.969999999</v>
      </c>
      <c r="G127" s="102"/>
      <c r="H127" s="104"/>
    </row>
    <row r="128" spans="1:8" s="36" customFormat="1" ht="12.75" x14ac:dyDescent="0.2">
      <c r="A128" s="60"/>
      <c r="B128" s="60"/>
      <c r="C128" s="47"/>
      <c r="D128" s="50">
        <f>SUM(D125:D127)</f>
        <v>89073994.109999985</v>
      </c>
      <c r="E128" s="47"/>
      <c r="F128" s="50">
        <f>SUM(F125:F127)</f>
        <v>92223939.465000004</v>
      </c>
      <c r="G128" s="102"/>
      <c r="H128" s="104"/>
    </row>
    <row r="129" spans="1:9" s="36" customFormat="1" ht="12.75" x14ac:dyDescent="0.2">
      <c r="A129" s="60" t="s">
        <v>1</v>
      </c>
      <c r="B129" s="60"/>
      <c r="C129" s="47"/>
      <c r="D129" s="57">
        <v>1</v>
      </c>
      <c r="E129" s="47"/>
      <c r="F129" s="57">
        <v>1</v>
      </c>
      <c r="G129" s="102"/>
      <c r="H129" s="104"/>
    </row>
    <row r="130" spans="1:9" s="36" customFormat="1" ht="12.75" x14ac:dyDescent="0.2">
      <c r="A130" s="68" t="s">
        <v>5</v>
      </c>
      <c r="B130" s="68"/>
      <c r="C130" s="58"/>
      <c r="D130" s="59">
        <f>D128*D129</f>
        <v>89073994.109999985</v>
      </c>
      <c r="E130" s="58"/>
      <c r="F130" s="59">
        <f>F128*F129</f>
        <v>92223939.465000004</v>
      </c>
      <c r="G130" s="102"/>
      <c r="H130" s="104"/>
    </row>
    <row r="131" spans="1:9" s="36" customFormat="1" ht="12.75" x14ac:dyDescent="0.2">
      <c r="A131" s="78"/>
      <c r="B131" s="78"/>
      <c r="C131" s="83"/>
      <c r="D131" s="84"/>
      <c r="E131" s="83"/>
      <c r="F131" s="84"/>
      <c r="G131" s="102"/>
      <c r="H131" s="104"/>
    </row>
    <row r="132" spans="1:9" s="36" customFormat="1" ht="25.5" x14ac:dyDescent="0.2">
      <c r="A132" s="70" t="s">
        <v>75</v>
      </c>
      <c r="B132" s="63"/>
      <c r="C132" s="71"/>
      <c r="D132" s="65"/>
      <c r="E132" s="71"/>
      <c r="F132" s="65"/>
      <c r="G132" s="102"/>
      <c r="H132" s="104"/>
    </row>
    <row r="133" spans="1:9" s="36" customFormat="1" ht="12.75" x14ac:dyDescent="0.2">
      <c r="A133" s="60" t="s">
        <v>8</v>
      </c>
      <c r="B133" s="66">
        <v>0</v>
      </c>
      <c r="C133" s="49">
        <v>0</v>
      </c>
      <c r="D133" s="50">
        <f>B133*C133</f>
        <v>0</v>
      </c>
      <c r="E133" s="49">
        <v>0</v>
      </c>
      <c r="F133" s="50">
        <f>+B133*E133</f>
        <v>0</v>
      </c>
      <c r="G133" s="102"/>
      <c r="H133" s="104"/>
    </row>
    <row r="134" spans="1:9" s="36" customFormat="1" ht="12.75" x14ac:dyDescent="0.2">
      <c r="A134" s="60" t="s">
        <v>7</v>
      </c>
      <c r="B134" s="66">
        <v>0</v>
      </c>
      <c r="C134" s="54">
        <v>7.9119999999999996E-2</v>
      </c>
      <c r="D134" s="50">
        <f>B134*C134</f>
        <v>0</v>
      </c>
      <c r="E134" s="54">
        <v>8.1920000000000007E-2</v>
      </c>
      <c r="F134" s="50">
        <f>+B134*E134</f>
        <v>0</v>
      </c>
      <c r="G134" s="102"/>
      <c r="H134" s="104"/>
    </row>
    <row r="135" spans="1:9" s="36" customFormat="1" ht="15.6" customHeight="1" x14ac:dyDescent="0.2">
      <c r="A135" s="47" t="s">
        <v>2</v>
      </c>
      <c r="B135" s="86">
        <v>0</v>
      </c>
      <c r="C135" s="49">
        <v>1.89</v>
      </c>
      <c r="D135" s="55">
        <f>B135*C135</f>
        <v>0</v>
      </c>
      <c r="E135" s="49">
        <v>1.9575</v>
      </c>
      <c r="F135" s="55">
        <f>+B135*E135</f>
        <v>0</v>
      </c>
      <c r="G135" s="102"/>
      <c r="H135" s="104"/>
    </row>
    <row r="136" spans="1:9" s="36" customFormat="1" ht="12.75" x14ac:dyDescent="0.2">
      <c r="A136" s="60"/>
      <c r="B136" s="60"/>
      <c r="C136" s="47"/>
      <c r="D136" s="50">
        <f>SUM(D133:D135)</f>
        <v>0</v>
      </c>
      <c r="E136" s="47"/>
      <c r="F136" s="50">
        <f>SUM(F133:F135)</f>
        <v>0</v>
      </c>
      <c r="G136" s="102"/>
      <c r="H136" s="104"/>
    </row>
    <row r="137" spans="1:9" s="36" customFormat="1" ht="12.75" x14ac:dyDescent="0.2">
      <c r="A137" s="60" t="s">
        <v>1</v>
      </c>
      <c r="B137" s="60"/>
      <c r="C137" s="47"/>
      <c r="D137" s="57">
        <v>1</v>
      </c>
      <c r="E137" s="47"/>
      <c r="F137" s="57">
        <v>1</v>
      </c>
      <c r="G137" s="102"/>
      <c r="H137" s="104"/>
    </row>
    <row r="138" spans="1:9" s="36" customFormat="1" ht="12.75" x14ac:dyDescent="0.2">
      <c r="A138" s="68" t="s">
        <v>5</v>
      </c>
      <c r="B138" s="68"/>
      <c r="C138" s="58"/>
      <c r="D138" s="59">
        <f>D136*D137</f>
        <v>0</v>
      </c>
      <c r="E138" s="58"/>
      <c r="F138" s="59">
        <f>F136*F137</f>
        <v>0</v>
      </c>
      <c r="G138" s="102"/>
      <c r="H138" s="104"/>
    </row>
    <row r="139" spans="1:9" s="36" customFormat="1" ht="12.75" x14ac:dyDescent="0.2">
      <c r="A139" s="78"/>
      <c r="B139" s="78"/>
      <c r="C139" s="83"/>
      <c r="D139" s="84"/>
      <c r="E139" s="83"/>
      <c r="F139" s="84"/>
      <c r="G139" s="102"/>
      <c r="H139" s="104"/>
    </row>
    <row r="140" spans="1:9" s="36" customFormat="1" ht="12.75" x14ac:dyDescent="0.2">
      <c r="A140" s="70" t="s">
        <v>17</v>
      </c>
      <c r="B140" s="63"/>
      <c r="C140" s="71"/>
      <c r="D140" s="65"/>
      <c r="E140" s="71"/>
      <c r="F140" s="65"/>
      <c r="G140" s="102"/>
      <c r="H140" s="104"/>
    </row>
    <row r="141" spans="1:9" s="36" customFormat="1" ht="12.75" x14ac:dyDescent="0.2">
      <c r="A141" s="60" t="s">
        <v>8</v>
      </c>
      <c r="B141" s="66">
        <v>181</v>
      </c>
      <c r="C141" s="49">
        <v>0</v>
      </c>
      <c r="D141" s="50">
        <f>B141*C141</f>
        <v>0</v>
      </c>
      <c r="E141" s="61">
        <v>0</v>
      </c>
      <c r="F141" s="50">
        <f>+B141*E141</f>
        <v>0</v>
      </c>
      <c r="G141" s="102"/>
      <c r="H141" s="104"/>
    </row>
    <row r="142" spans="1:9" s="36" customFormat="1" ht="12.75" x14ac:dyDescent="0.2">
      <c r="A142" s="60" t="s">
        <v>7</v>
      </c>
      <c r="B142" s="66">
        <v>3863080578</v>
      </c>
      <c r="C142" s="54">
        <v>3.4430000000000002E-2</v>
      </c>
      <c r="D142" s="50">
        <f>$B$142*C142</f>
        <v>133005864.30054002</v>
      </c>
      <c r="E142" s="54">
        <v>3.5639999999999998E-2</v>
      </c>
      <c r="F142" s="50">
        <f>$B$142*E142</f>
        <v>137680191.79991999</v>
      </c>
      <c r="G142" s="102"/>
      <c r="H142" s="104"/>
      <c r="I142" s="52"/>
    </row>
    <row r="143" spans="1:9" s="36" customFormat="1" ht="15" customHeight="1" x14ac:dyDescent="0.2">
      <c r="A143" s="47" t="s">
        <v>2</v>
      </c>
      <c r="B143" s="66">
        <v>6783752</v>
      </c>
      <c r="C143" s="87">
        <v>6.73</v>
      </c>
      <c r="D143" s="55">
        <f>$B$143*C143</f>
        <v>45654650.960000001</v>
      </c>
      <c r="E143" s="49">
        <v>6.97</v>
      </c>
      <c r="F143" s="55">
        <f>$B$143*E143</f>
        <v>47282751.439999998</v>
      </c>
      <c r="G143" s="102"/>
      <c r="H143" s="104"/>
      <c r="I143" s="52"/>
    </row>
    <row r="144" spans="1:9" s="36" customFormat="1" ht="27" customHeight="1" x14ac:dyDescent="0.2">
      <c r="A144" s="60"/>
      <c r="B144" s="60"/>
      <c r="C144" s="47"/>
      <c r="D144" s="50">
        <f>SUM(D141:D143)</f>
        <v>178660515.26054001</v>
      </c>
      <c r="E144" s="47"/>
      <c r="F144" s="50">
        <f>SUM(F141:F143)</f>
        <v>184962943.23991999</v>
      </c>
      <c r="G144" s="102"/>
      <c r="H144" s="104"/>
    </row>
    <row r="145" spans="1:8" s="36" customFormat="1" ht="12.75" x14ac:dyDescent="0.2">
      <c r="A145" s="60" t="s">
        <v>1</v>
      </c>
      <c r="B145" s="60"/>
      <c r="C145" s="47"/>
      <c r="D145" s="57">
        <v>1</v>
      </c>
      <c r="E145" s="47"/>
      <c r="F145" s="57">
        <v>1</v>
      </c>
      <c r="G145" s="102"/>
      <c r="H145" s="104"/>
    </row>
    <row r="146" spans="1:8" s="36" customFormat="1" ht="12.75" x14ac:dyDescent="0.2">
      <c r="A146" s="68" t="s">
        <v>5</v>
      </c>
      <c r="B146" s="68"/>
      <c r="C146" s="58"/>
      <c r="D146" s="59">
        <f>D144*D145</f>
        <v>178660515.26054001</v>
      </c>
      <c r="E146" s="58"/>
      <c r="F146" s="59">
        <f>F144*F145</f>
        <v>184962943.23991999</v>
      </c>
      <c r="G146" s="102"/>
      <c r="H146" s="104"/>
    </row>
    <row r="147" spans="1:8" s="36" customFormat="1" ht="12.75" x14ac:dyDescent="0.2">
      <c r="A147" s="70" t="s">
        <v>16</v>
      </c>
      <c r="B147" s="63"/>
      <c r="C147" s="71"/>
      <c r="D147" s="65"/>
      <c r="E147" s="71"/>
      <c r="F147" s="65"/>
      <c r="G147" s="102"/>
      <c r="H147" s="104"/>
    </row>
    <row r="148" spans="1:8" x14ac:dyDescent="0.25">
      <c r="A148" s="60" t="s">
        <v>8</v>
      </c>
      <c r="B148" s="66">
        <v>38</v>
      </c>
      <c r="C148" s="49">
        <v>0</v>
      </c>
      <c r="D148" s="50">
        <f>B148*C148</f>
        <v>0</v>
      </c>
      <c r="E148" s="49">
        <v>0</v>
      </c>
      <c r="F148" s="50">
        <f>+B148*E148</f>
        <v>0</v>
      </c>
      <c r="G148" s="102"/>
    </row>
    <row r="149" spans="1:8" x14ac:dyDescent="0.25">
      <c r="A149" s="60" t="s">
        <v>7</v>
      </c>
      <c r="B149" s="66">
        <v>1620289</v>
      </c>
      <c r="C149" s="54">
        <v>7.3260000000000006E-2</v>
      </c>
      <c r="D149" s="50">
        <f>$B$149*C149</f>
        <v>118702.37214000001</v>
      </c>
      <c r="E149" s="54">
        <v>7.5850000000000001E-2</v>
      </c>
      <c r="F149" s="50">
        <f>$B$149*E149</f>
        <v>122898.92065</v>
      </c>
      <c r="G149" s="102"/>
    </row>
    <row r="150" spans="1:8" x14ac:dyDescent="0.25">
      <c r="A150" s="47" t="s">
        <v>2</v>
      </c>
      <c r="B150" s="66">
        <v>37982</v>
      </c>
      <c r="C150" s="49">
        <v>1.6825000000000001</v>
      </c>
      <c r="D150" s="55">
        <f>$B$150*C150</f>
        <v>63904.715000000004</v>
      </c>
      <c r="E150" s="49">
        <v>1.7424999999999999</v>
      </c>
      <c r="F150" s="55">
        <f>$B$150*E150</f>
        <v>66183.634999999995</v>
      </c>
      <c r="G150" s="102"/>
    </row>
    <row r="151" spans="1:8" x14ac:dyDescent="0.25">
      <c r="A151" s="60"/>
      <c r="B151" s="60"/>
      <c r="C151" s="47"/>
      <c r="D151" s="50">
        <f>SUM(D148:D150)</f>
        <v>182607.08714000002</v>
      </c>
      <c r="E151" s="47"/>
      <c r="F151" s="50">
        <f>SUM(F148:F150)</f>
        <v>189082.55564999999</v>
      </c>
      <c r="G151" s="102"/>
    </row>
    <row r="152" spans="1:8" x14ac:dyDescent="0.25">
      <c r="A152" s="60" t="s">
        <v>1</v>
      </c>
      <c r="B152" s="60"/>
      <c r="C152" s="47"/>
      <c r="D152" s="57">
        <v>1</v>
      </c>
      <c r="E152" s="47"/>
      <c r="F152" s="57">
        <v>1</v>
      </c>
      <c r="G152" s="102"/>
    </row>
    <row r="153" spans="1:8" x14ac:dyDescent="0.25">
      <c r="A153" s="68" t="s">
        <v>5</v>
      </c>
      <c r="B153" s="68"/>
      <c r="C153" s="58"/>
      <c r="D153" s="59">
        <f>D151*D152</f>
        <v>182607.08714000002</v>
      </c>
      <c r="E153" s="58"/>
      <c r="F153" s="59">
        <f>F151*F152</f>
        <v>189082.55564999999</v>
      </c>
      <c r="G153" s="102"/>
    </row>
    <row r="154" spans="1:8" x14ac:dyDescent="0.25">
      <c r="A154" s="70" t="s">
        <v>15</v>
      </c>
      <c r="B154" s="63"/>
      <c r="C154" s="71"/>
      <c r="D154" s="65"/>
      <c r="E154" s="71"/>
      <c r="F154" s="65"/>
      <c r="G154" s="102"/>
    </row>
    <row r="155" spans="1:8" x14ac:dyDescent="0.25">
      <c r="A155" s="60" t="s">
        <v>8</v>
      </c>
      <c r="B155" s="66">
        <v>578</v>
      </c>
      <c r="C155" s="49">
        <v>21.07</v>
      </c>
      <c r="D155" s="50">
        <f>$B$155*C155</f>
        <v>12178.460000000001</v>
      </c>
      <c r="E155" s="49">
        <v>21.81</v>
      </c>
      <c r="F155" s="50">
        <f>$B$155*E155</f>
        <v>12606.179999999998</v>
      </c>
      <c r="G155" s="102"/>
    </row>
    <row r="156" spans="1:8" x14ac:dyDescent="0.25">
      <c r="A156" s="60" t="s">
        <v>7</v>
      </c>
      <c r="B156" s="66">
        <v>1704983</v>
      </c>
      <c r="C156" s="88">
        <v>2.59382</v>
      </c>
      <c r="D156" s="55">
        <f>$B$156*C156</f>
        <v>4422419.0050600003</v>
      </c>
      <c r="E156" s="88">
        <v>2.59382</v>
      </c>
      <c r="F156" s="55">
        <f>$B$156*E156</f>
        <v>4422419.0050600003</v>
      </c>
      <c r="G156" s="102"/>
    </row>
    <row r="157" spans="1:8" x14ac:dyDescent="0.25">
      <c r="A157" s="60"/>
      <c r="B157" s="60"/>
      <c r="C157" s="47"/>
      <c r="D157" s="50">
        <f>SUM(D155:D156)</f>
        <v>4434597.4650600003</v>
      </c>
      <c r="E157" s="47"/>
      <c r="F157" s="50">
        <f>SUM(F155:F156)</f>
        <v>4435025.18506</v>
      </c>
      <c r="G157" s="102"/>
    </row>
    <row r="158" spans="1:8" x14ac:dyDescent="0.25">
      <c r="A158" s="60" t="s">
        <v>1</v>
      </c>
      <c r="B158" s="60"/>
      <c r="C158" s="47"/>
      <c r="D158" s="57">
        <v>1</v>
      </c>
      <c r="E158" s="47"/>
      <c r="F158" s="57">
        <v>1</v>
      </c>
      <c r="G158" s="102"/>
    </row>
    <row r="159" spans="1:8" x14ac:dyDescent="0.25">
      <c r="A159" s="68" t="s">
        <v>5</v>
      </c>
      <c r="B159" s="68"/>
      <c r="C159" s="58"/>
      <c r="D159" s="59">
        <f>D157*D158</f>
        <v>4434597.4650600003</v>
      </c>
      <c r="E159" s="58"/>
      <c r="F159" s="59">
        <f>F157*F158</f>
        <v>4435025.18506</v>
      </c>
      <c r="G159" s="102"/>
    </row>
    <row r="160" spans="1:8" x14ac:dyDescent="0.25">
      <c r="A160" s="70" t="s">
        <v>14</v>
      </c>
      <c r="B160" s="63"/>
      <c r="C160" s="89"/>
      <c r="D160" s="65"/>
      <c r="E160" s="89"/>
      <c r="F160" s="65"/>
      <c r="G160" s="102"/>
    </row>
    <row r="161" spans="1:7" x14ac:dyDescent="0.25">
      <c r="A161" s="60" t="s">
        <v>8</v>
      </c>
      <c r="B161" s="66">
        <v>225</v>
      </c>
      <c r="C161" s="49">
        <v>21.07</v>
      </c>
      <c r="D161" s="50">
        <f>$B$161*C161</f>
        <v>4740.75</v>
      </c>
      <c r="E161" s="49">
        <v>21.81</v>
      </c>
      <c r="F161" s="50">
        <f>$B$161*E161</f>
        <v>4907.25</v>
      </c>
      <c r="G161" s="102"/>
    </row>
    <row r="162" spans="1:7" ht="19.149999999999999" customHeight="1" x14ac:dyDescent="0.25">
      <c r="A162" s="60" t="s">
        <v>7</v>
      </c>
      <c r="B162" s="86">
        <v>663049</v>
      </c>
      <c r="C162" s="88">
        <v>2.59382</v>
      </c>
      <c r="D162" s="55">
        <f>$B$162*C162</f>
        <v>1719829.75718</v>
      </c>
      <c r="E162" s="88">
        <v>2.59382</v>
      </c>
      <c r="F162" s="55">
        <f>$B$162*E162</f>
        <v>1719829.75718</v>
      </c>
      <c r="G162" s="102"/>
    </row>
    <row r="163" spans="1:7" x14ac:dyDescent="0.25">
      <c r="A163" s="60"/>
      <c r="B163" s="60"/>
      <c r="C163" s="47"/>
      <c r="D163" s="50">
        <f>SUM(D161:D162)</f>
        <v>1724570.50718</v>
      </c>
      <c r="E163" s="47"/>
      <c r="F163" s="50">
        <f>SUM(F161:F162)</f>
        <v>1724737.00718</v>
      </c>
      <c r="G163" s="102"/>
    </row>
    <row r="164" spans="1:7" x14ac:dyDescent="0.25">
      <c r="A164" s="60" t="s">
        <v>1</v>
      </c>
      <c r="B164" s="60"/>
      <c r="C164" s="47"/>
      <c r="D164" s="57">
        <v>1</v>
      </c>
      <c r="E164" s="47"/>
      <c r="F164" s="57">
        <v>1</v>
      </c>
      <c r="G164" s="102"/>
    </row>
    <row r="165" spans="1:7" x14ac:dyDescent="0.25">
      <c r="A165" s="68" t="s">
        <v>5</v>
      </c>
      <c r="B165" s="68"/>
      <c r="C165" s="58"/>
      <c r="D165" s="59">
        <f>D163*D164</f>
        <v>1724570.50718</v>
      </c>
      <c r="E165" s="58"/>
      <c r="F165" s="59">
        <f>F163*F164</f>
        <v>1724737.00718</v>
      </c>
      <c r="G165" s="102"/>
    </row>
    <row r="166" spans="1:7" x14ac:dyDescent="0.25">
      <c r="A166" s="70" t="s">
        <v>13</v>
      </c>
      <c r="B166" s="63"/>
      <c r="C166" s="89"/>
      <c r="D166" s="65"/>
      <c r="E166" s="89"/>
      <c r="F166" s="65"/>
      <c r="G166" s="102"/>
    </row>
    <row r="167" spans="1:7" x14ac:dyDescent="0.25">
      <c r="A167" s="60" t="s">
        <v>8</v>
      </c>
      <c r="B167" s="66">
        <v>1357</v>
      </c>
      <c r="C167" s="49">
        <v>21.07</v>
      </c>
      <c r="D167" s="50">
        <f>$B$167*C167</f>
        <v>28591.99</v>
      </c>
      <c r="E167" s="49">
        <v>21.81</v>
      </c>
      <c r="F167" s="50">
        <f>$B$167*E167</f>
        <v>29596.17</v>
      </c>
      <c r="G167" s="102"/>
    </row>
    <row r="168" spans="1:7" x14ac:dyDescent="0.25">
      <c r="A168" s="53"/>
      <c r="B168" s="66"/>
      <c r="C168" s="49"/>
      <c r="D168" s="50"/>
      <c r="E168" s="49"/>
      <c r="F168" s="50"/>
      <c r="G168" s="102"/>
    </row>
    <row r="169" spans="1:7" x14ac:dyDescent="0.25">
      <c r="A169" s="53" t="s">
        <v>12</v>
      </c>
      <c r="B169" s="66">
        <v>1264016</v>
      </c>
      <c r="C169" s="54">
        <v>8.8959999999999997E-2</v>
      </c>
      <c r="D169" s="50">
        <f>$B$169*C169</f>
        <v>112446.86336</v>
      </c>
      <c r="E169" s="54">
        <v>9.2090000000000005E-2</v>
      </c>
      <c r="F169" s="50">
        <f>$B$169*E169</f>
        <v>116403.23344000001</v>
      </c>
      <c r="G169" s="102"/>
    </row>
    <row r="170" spans="1:7" x14ac:dyDescent="0.25">
      <c r="A170" s="60" t="s">
        <v>11</v>
      </c>
      <c r="B170" s="77">
        <v>2045341</v>
      </c>
      <c r="C170" s="88">
        <v>0.42616999999999999</v>
      </c>
      <c r="D170" s="55">
        <f>$B$170*C170</f>
        <v>871662.97396999993</v>
      </c>
      <c r="E170" s="88">
        <v>0.42616999999999999</v>
      </c>
      <c r="F170" s="55">
        <f>$B$170*E170</f>
        <v>871662.97396999993</v>
      </c>
      <c r="G170" s="102"/>
    </row>
    <row r="171" spans="1:7" x14ac:dyDescent="0.25">
      <c r="A171" s="60"/>
      <c r="B171" s="90">
        <v>3309357</v>
      </c>
      <c r="C171" s="47"/>
      <c r="D171" s="50">
        <f>SUM(D167:D170)</f>
        <v>1012701.82733</v>
      </c>
      <c r="E171" s="47"/>
      <c r="F171" s="50">
        <f>SUM(F167:F170)</f>
        <v>1017662.37741</v>
      </c>
      <c r="G171" s="102"/>
    </row>
    <row r="172" spans="1:7" x14ac:dyDescent="0.25">
      <c r="A172" s="60" t="s">
        <v>1</v>
      </c>
      <c r="B172" s="60"/>
      <c r="C172" s="47"/>
      <c r="D172" s="57">
        <v>1</v>
      </c>
      <c r="E172" s="47"/>
      <c r="F172" s="57">
        <v>1</v>
      </c>
      <c r="G172" s="102"/>
    </row>
    <row r="173" spans="1:7" x14ac:dyDescent="0.25">
      <c r="A173" s="68" t="s">
        <v>5</v>
      </c>
      <c r="B173" s="68"/>
      <c r="C173" s="58"/>
      <c r="D173" s="59">
        <f>D171*D172</f>
        <v>1012701.82733</v>
      </c>
      <c r="E173" s="58"/>
      <c r="F173" s="59">
        <f>F171*F172</f>
        <v>1017662.37741</v>
      </c>
      <c r="G173" s="102"/>
    </row>
    <row r="174" spans="1:7" x14ac:dyDescent="0.25">
      <c r="A174" s="44" t="s">
        <v>10</v>
      </c>
      <c r="B174" s="63"/>
      <c r="C174" s="71"/>
      <c r="D174" s="65"/>
      <c r="E174" s="71"/>
      <c r="F174" s="65"/>
      <c r="G174" s="102"/>
    </row>
    <row r="175" spans="1:7" x14ac:dyDescent="0.25">
      <c r="A175" s="47" t="s">
        <v>8</v>
      </c>
      <c r="B175" s="66">
        <v>324</v>
      </c>
      <c r="C175" s="49">
        <v>50</v>
      </c>
      <c r="D175" s="50">
        <f>$B$175*C175</f>
        <v>16200</v>
      </c>
      <c r="E175" s="49">
        <v>50</v>
      </c>
      <c r="F175" s="50">
        <f>$B$175*E175</f>
        <v>16200</v>
      </c>
      <c r="G175" s="102"/>
    </row>
    <row r="176" spans="1:7" x14ac:dyDescent="0.25">
      <c r="A176" s="53" t="s">
        <v>7</v>
      </c>
      <c r="B176" s="66">
        <v>25000000</v>
      </c>
      <c r="C176" s="54">
        <f>+D176/B176</f>
        <v>2.841192E-2</v>
      </c>
      <c r="D176" s="50">
        <v>710298</v>
      </c>
      <c r="E176" s="54">
        <f>+C176</f>
        <v>2.841192E-2</v>
      </c>
      <c r="F176" s="50">
        <v>710298</v>
      </c>
      <c r="G176" s="102"/>
    </row>
    <row r="177" spans="1:7" x14ac:dyDescent="0.25">
      <c r="A177" s="91" t="s">
        <v>6</v>
      </c>
      <c r="B177" s="66"/>
      <c r="C177" s="88">
        <v>6.1999999999999998E-3</v>
      </c>
      <c r="D177" s="55">
        <f>C$177*$B$176</f>
        <v>155000</v>
      </c>
      <c r="E177" s="88">
        <v>6.1999999999999998E-3</v>
      </c>
      <c r="F177" s="55">
        <f>E$177*$B$176</f>
        <v>155000</v>
      </c>
      <c r="G177" s="102"/>
    </row>
    <row r="178" spans="1:7" x14ac:dyDescent="0.25">
      <c r="A178" s="47"/>
      <c r="B178" s="90"/>
      <c r="C178" s="47"/>
      <c r="D178" s="50">
        <f>SUM(D175:D177)</f>
        <v>881498</v>
      </c>
      <c r="E178" s="47"/>
      <c r="F178" s="50">
        <f>SUM(F175:F177)</f>
        <v>881498</v>
      </c>
      <c r="G178" s="102"/>
    </row>
    <row r="179" spans="1:7" x14ac:dyDescent="0.25">
      <c r="A179" s="47" t="s">
        <v>1</v>
      </c>
      <c r="B179" s="92"/>
      <c r="C179" s="47"/>
      <c r="D179" s="57">
        <v>1</v>
      </c>
      <c r="E179" s="47"/>
      <c r="F179" s="57">
        <v>1</v>
      </c>
      <c r="G179" s="102"/>
    </row>
    <row r="180" spans="1:7" x14ac:dyDescent="0.25">
      <c r="A180" s="68" t="s">
        <v>5</v>
      </c>
      <c r="B180" s="68"/>
      <c r="C180" s="58"/>
      <c r="D180" s="59">
        <f>D178*D179</f>
        <v>881498</v>
      </c>
      <c r="E180" s="58"/>
      <c r="F180" s="59">
        <f>F178*F179</f>
        <v>881498</v>
      </c>
      <c r="G180" s="102"/>
    </row>
    <row r="181" spans="1:7" x14ac:dyDescent="0.25">
      <c r="A181" s="44" t="s">
        <v>9</v>
      </c>
      <c r="B181" s="63"/>
      <c r="C181" s="71"/>
      <c r="D181" s="65"/>
      <c r="E181" s="71"/>
      <c r="F181" s="65"/>
      <c r="G181" s="102"/>
    </row>
    <row r="182" spans="1:7" x14ac:dyDescent="0.25">
      <c r="A182" s="47" t="s">
        <v>8</v>
      </c>
      <c r="B182" s="66">
        <v>48</v>
      </c>
      <c r="C182" s="49">
        <v>100</v>
      </c>
      <c r="D182" s="50">
        <f>$B$182*C182</f>
        <v>4800</v>
      </c>
      <c r="E182" s="49">
        <v>100</v>
      </c>
      <c r="F182" s="50">
        <f>$B$182*E182</f>
        <v>4800</v>
      </c>
      <c r="G182" s="102"/>
    </row>
    <row r="183" spans="1:7" x14ac:dyDescent="0.25">
      <c r="A183" s="53" t="s">
        <v>7</v>
      </c>
      <c r="B183" s="66">
        <v>2800000</v>
      </c>
      <c r="C183" s="54">
        <f>+D183/B183</f>
        <v>2.8268571428571428E-2</v>
      </c>
      <c r="D183" s="50">
        <v>79152</v>
      </c>
      <c r="E183" s="54">
        <f>+F183/B183</f>
        <v>2.8268571428571428E-2</v>
      </c>
      <c r="F183" s="50">
        <v>79152</v>
      </c>
      <c r="G183" s="102"/>
    </row>
    <row r="184" spans="1:7" x14ac:dyDescent="0.25">
      <c r="A184" s="91" t="s">
        <v>6</v>
      </c>
      <c r="B184" s="66"/>
      <c r="C184" s="88">
        <v>3.3E-3</v>
      </c>
      <c r="D184" s="55">
        <f>C184*$B$183</f>
        <v>9240</v>
      </c>
      <c r="E184" s="88">
        <v>3.3E-3</v>
      </c>
      <c r="F184" s="55">
        <f>E184*$B$183</f>
        <v>9240</v>
      </c>
      <c r="G184" s="102"/>
    </row>
    <row r="185" spans="1:7" x14ac:dyDescent="0.25">
      <c r="A185" s="47"/>
      <c r="B185" s="90"/>
      <c r="C185" s="47"/>
      <c r="D185" s="50">
        <f>SUM(D182:D184)</f>
        <v>93192</v>
      </c>
      <c r="E185" s="47"/>
      <c r="F185" s="50">
        <f>SUM(F182:F184)</f>
        <v>93192</v>
      </c>
      <c r="G185" s="102"/>
    </row>
    <row r="186" spans="1:7" x14ac:dyDescent="0.25">
      <c r="A186" s="47" t="s">
        <v>1</v>
      </c>
      <c r="B186" s="92"/>
      <c r="C186" s="47"/>
      <c r="D186" s="57">
        <v>1</v>
      </c>
      <c r="E186" s="47"/>
      <c r="F186" s="57">
        <v>1</v>
      </c>
      <c r="G186" s="102"/>
    </row>
    <row r="187" spans="1:7" x14ac:dyDescent="0.25">
      <c r="A187" s="68" t="s">
        <v>5</v>
      </c>
      <c r="B187" s="68"/>
      <c r="C187" s="58"/>
      <c r="D187" s="59">
        <f>D185*D186</f>
        <v>93192</v>
      </c>
      <c r="E187" s="58"/>
      <c r="F187" s="59">
        <f>F185*F186</f>
        <v>93192</v>
      </c>
      <c r="G187" s="102"/>
    </row>
    <row r="188" spans="1:7" x14ac:dyDescent="0.25">
      <c r="A188" s="93"/>
      <c r="B188" s="93"/>
      <c r="C188" s="93"/>
      <c r="D188" s="94"/>
      <c r="E188" s="93"/>
      <c r="F188" s="94"/>
      <c r="G188" s="102"/>
    </row>
    <row r="189" spans="1:7" x14ac:dyDescent="0.25">
      <c r="A189" s="93"/>
      <c r="B189" s="93"/>
      <c r="C189" s="94"/>
      <c r="D189" s="96"/>
      <c r="E189" s="94"/>
      <c r="F189" s="96"/>
      <c r="G189" s="102"/>
    </row>
    <row r="190" spans="1:7" x14ac:dyDescent="0.25">
      <c r="A190" s="76"/>
      <c r="B190" s="76"/>
      <c r="C190" s="76"/>
      <c r="D190" s="76"/>
      <c r="E190" s="76"/>
      <c r="F190" s="76"/>
      <c r="G190" s="102"/>
    </row>
    <row r="191" spans="1:7" x14ac:dyDescent="0.25">
      <c r="A191" s="76"/>
      <c r="B191" s="76"/>
      <c r="C191" s="97"/>
      <c r="D191" s="76"/>
      <c r="E191" s="95"/>
      <c r="F191" s="76"/>
      <c r="G191" s="102"/>
    </row>
    <row r="192" spans="1:7" x14ac:dyDescent="0.25">
      <c r="A192" s="76"/>
      <c r="B192" s="76"/>
      <c r="C192" s="98"/>
      <c r="D192" s="99"/>
      <c r="E192" s="76"/>
      <c r="F192" s="99"/>
      <c r="G192" s="102"/>
    </row>
    <row r="193" spans="1:7" x14ac:dyDescent="0.25">
      <c r="A193" s="76"/>
      <c r="B193" s="76"/>
      <c r="C193" s="76"/>
      <c r="D193" s="99"/>
      <c r="E193" s="76"/>
      <c r="F193" s="99"/>
      <c r="G193" s="102"/>
    </row>
    <row r="194" spans="1:7" x14ac:dyDescent="0.25">
      <c r="A194" s="76"/>
      <c r="B194" s="76"/>
      <c r="C194" s="76"/>
      <c r="D194" s="99"/>
      <c r="E194" s="76"/>
      <c r="F194" s="99"/>
      <c r="G194" s="102"/>
    </row>
    <row r="195" spans="1:7" x14ac:dyDescent="0.25">
      <c r="A195" s="76"/>
      <c r="B195" s="76"/>
      <c r="D195" s="100"/>
      <c r="F195" s="100"/>
      <c r="G195" s="102"/>
    </row>
    <row r="196" spans="1:7" x14ac:dyDescent="0.25">
      <c r="A196" s="76"/>
      <c r="B196" s="76"/>
      <c r="G196" s="102"/>
    </row>
    <row r="197" spans="1:7" x14ac:dyDescent="0.25">
      <c r="A197" s="76"/>
      <c r="B197" s="76"/>
      <c r="C197" s="76"/>
      <c r="D197" s="95"/>
      <c r="E197" s="76"/>
      <c r="F197" s="95"/>
      <c r="G197" s="102"/>
    </row>
    <row r="198" spans="1:7" x14ac:dyDescent="0.25">
      <c r="A198" s="76"/>
      <c r="B198" s="76"/>
      <c r="C198" s="76"/>
      <c r="D198" s="99"/>
      <c r="E198" s="76"/>
      <c r="F198" s="99"/>
      <c r="G198" s="102"/>
    </row>
    <row r="199" spans="1:7" x14ac:dyDescent="0.25">
      <c r="A199" s="76"/>
      <c r="B199" s="76"/>
      <c r="C199" s="76"/>
      <c r="D199" s="101"/>
      <c r="E199" s="76"/>
      <c r="F199" s="98"/>
      <c r="G199" s="102"/>
    </row>
    <row r="200" spans="1:7" x14ac:dyDescent="0.25">
      <c r="A200" s="76"/>
      <c r="B200" s="76"/>
      <c r="C200" s="76"/>
      <c r="D200" s="95"/>
      <c r="E200" s="95"/>
      <c r="F200" s="95"/>
      <c r="G200" s="102"/>
    </row>
    <row r="201" spans="1:7" x14ac:dyDescent="0.25">
      <c r="A201" s="76"/>
      <c r="B201" s="76"/>
      <c r="C201" s="76"/>
      <c r="D201" s="76"/>
      <c r="E201" s="76"/>
      <c r="F201" s="76"/>
      <c r="G201" s="102"/>
    </row>
    <row r="202" spans="1:7" x14ac:dyDescent="0.25">
      <c r="A202" s="76"/>
      <c r="B202" s="76"/>
      <c r="C202" s="76"/>
      <c r="D202" s="76"/>
      <c r="E202" s="76"/>
      <c r="F202" s="76"/>
      <c r="G202" s="102"/>
    </row>
    <row r="203" spans="1:7" x14ac:dyDescent="0.25">
      <c r="A203" s="76"/>
      <c r="B203" s="76"/>
      <c r="C203" s="76"/>
      <c r="D203" s="76"/>
      <c r="E203" s="76"/>
      <c r="F203" s="76"/>
      <c r="G203" s="102"/>
    </row>
    <row r="204" spans="1:7" x14ac:dyDescent="0.25">
      <c r="A204" s="76"/>
      <c r="B204" s="76"/>
      <c r="C204" s="76"/>
      <c r="D204" s="76"/>
      <c r="E204" s="76"/>
      <c r="F204" s="76"/>
      <c r="G204" s="102"/>
    </row>
    <row r="205" spans="1:7" x14ac:dyDescent="0.25">
      <c r="A205" s="76"/>
      <c r="B205" s="76"/>
      <c r="C205" s="76"/>
      <c r="D205" s="76"/>
      <c r="E205" s="76"/>
      <c r="F205" s="76"/>
      <c r="G205" s="102"/>
    </row>
    <row r="206" spans="1:7" x14ac:dyDescent="0.25">
      <c r="A206" s="76"/>
      <c r="B206" s="76"/>
      <c r="C206" s="76"/>
      <c r="D206" s="76"/>
      <c r="E206" s="76"/>
      <c r="F206" s="76"/>
      <c r="G206" s="102"/>
    </row>
    <row r="207" spans="1:7" x14ac:dyDescent="0.25">
      <c r="A207" s="76"/>
      <c r="B207" s="76"/>
      <c r="C207" s="76"/>
      <c r="D207" s="76"/>
      <c r="E207" s="76"/>
      <c r="F207" s="76"/>
      <c r="G207" s="102"/>
    </row>
    <row r="208" spans="1:7" x14ac:dyDescent="0.25">
      <c r="A208" s="76"/>
      <c r="B208" s="76"/>
      <c r="C208" s="76"/>
      <c r="D208" s="76"/>
      <c r="E208" s="76"/>
      <c r="F208" s="76"/>
      <c r="G208" s="102"/>
    </row>
    <row r="209" spans="1:7" x14ac:dyDescent="0.25">
      <c r="A209" s="76"/>
      <c r="B209" s="76"/>
      <c r="C209" s="76"/>
      <c r="D209" s="76"/>
      <c r="E209" s="76"/>
      <c r="F209" s="76"/>
      <c r="G209" s="102"/>
    </row>
    <row r="210" spans="1:7" x14ac:dyDescent="0.25">
      <c r="A210" s="76"/>
      <c r="B210" s="76"/>
      <c r="C210" s="76"/>
      <c r="D210" s="76"/>
      <c r="E210" s="76"/>
      <c r="F210" s="76"/>
      <c r="G210" s="102"/>
    </row>
    <row r="211" spans="1:7" x14ac:dyDescent="0.25">
      <c r="A211" s="76"/>
      <c r="B211" s="76"/>
      <c r="C211" s="76"/>
      <c r="D211" s="76"/>
      <c r="E211" s="76"/>
      <c r="F211" s="76"/>
      <c r="G211" s="102"/>
    </row>
    <row r="212" spans="1:7" x14ac:dyDescent="0.25">
      <c r="A212" s="76"/>
      <c r="B212" s="76"/>
      <c r="C212" s="76"/>
      <c r="D212" s="76"/>
      <c r="E212" s="76"/>
      <c r="F212" s="76"/>
      <c r="G212" s="102"/>
    </row>
    <row r="213" spans="1:7" x14ac:dyDescent="0.25">
      <c r="A213" s="76"/>
      <c r="B213" s="76"/>
      <c r="C213" s="76"/>
      <c r="D213" s="76"/>
      <c r="E213" s="76"/>
      <c r="F213" s="76"/>
      <c r="G213" s="102"/>
    </row>
    <row r="214" spans="1:7" x14ac:dyDescent="0.25">
      <c r="A214" s="76"/>
      <c r="B214" s="76"/>
      <c r="C214" s="76"/>
      <c r="D214" s="76"/>
      <c r="E214" s="76"/>
      <c r="F214" s="76"/>
      <c r="G214" s="102"/>
    </row>
    <row r="215" spans="1:7" x14ac:dyDescent="0.25">
      <c r="A215" s="76"/>
      <c r="B215" s="76"/>
      <c r="C215" s="76"/>
      <c r="D215" s="76"/>
      <c r="E215" s="76"/>
      <c r="F215" s="76"/>
      <c r="G215" s="102"/>
    </row>
    <row r="216" spans="1:7" x14ac:dyDescent="0.25">
      <c r="A216" s="76"/>
      <c r="B216" s="76"/>
      <c r="C216" s="76"/>
      <c r="D216" s="76"/>
      <c r="E216" s="76"/>
      <c r="F216" s="76"/>
      <c r="G216" s="102"/>
    </row>
    <row r="217" spans="1:7" x14ac:dyDescent="0.25">
      <c r="A217" s="76"/>
      <c r="B217" s="76"/>
      <c r="C217" s="76"/>
      <c r="D217" s="76"/>
      <c r="E217" s="76"/>
      <c r="F217" s="76"/>
      <c r="G217" s="102"/>
    </row>
    <row r="218" spans="1:7" x14ac:dyDescent="0.25">
      <c r="A218" s="76"/>
      <c r="B218" s="76"/>
      <c r="C218" s="76"/>
      <c r="D218" s="76"/>
      <c r="E218" s="76"/>
      <c r="F218" s="76"/>
      <c r="G218" s="102"/>
    </row>
    <row r="219" spans="1:7" x14ac:dyDescent="0.25">
      <c r="A219" s="76"/>
      <c r="B219" s="76"/>
      <c r="C219" s="76"/>
      <c r="D219" s="76"/>
      <c r="E219" s="76"/>
      <c r="F219" s="76"/>
      <c r="G219" s="102"/>
    </row>
    <row r="220" spans="1:7" x14ac:dyDescent="0.25">
      <c r="A220" s="76"/>
      <c r="B220" s="76"/>
      <c r="C220" s="76"/>
      <c r="D220" s="76"/>
      <c r="E220" s="76"/>
      <c r="F220" s="76"/>
      <c r="G220" s="102"/>
    </row>
    <row r="221" spans="1:7" x14ac:dyDescent="0.25">
      <c r="A221" s="76"/>
      <c r="B221" s="76"/>
      <c r="C221" s="76"/>
      <c r="D221" s="76"/>
      <c r="E221" s="76"/>
      <c r="F221" s="76"/>
      <c r="G221" s="102"/>
    </row>
    <row r="222" spans="1:7" x14ac:dyDescent="0.25">
      <c r="A222" s="76"/>
      <c r="B222" s="76"/>
      <c r="C222" s="76"/>
      <c r="D222" s="76"/>
      <c r="E222" s="76"/>
      <c r="F222" s="76"/>
      <c r="G222" s="102"/>
    </row>
    <row r="223" spans="1:7" x14ac:dyDescent="0.25">
      <c r="A223" s="76"/>
      <c r="B223" s="76"/>
      <c r="C223" s="76"/>
      <c r="D223" s="76"/>
      <c r="E223" s="76"/>
      <c r="F223" s="76"/>
      <c r="G223" s="51"/>
    </row>
    <row r="224" spans="1:7" x14ac:dyDescent="0.25">
      <c r="A224" s="76"/>
      <c r="B224" s="76"/>
      <c r="C224" s="76"/>
      <c r="D224" s="76"/>
      <c r="E224" s="76"/>
      <c r="F224" s="76"/>
      <c r="G224" s="51"/>
    </row>
    <row r="225" spans="1:7" x14ac:dyDescent="0.25">
      <c r="A225" s="76"/>
      <c r="B225" s="76"/>
      <c r="C225" s="76"/>
      <c r="D225" s="76"/>
      <c r="E225" s="76"/>
      <c r="F225" s="76"/>
      <c r="G225" s="51"/>
    </row>
    <row r="226" spans="1:7" x14ac:dyDescent="0.25">
      <c r="A226" s="76"/>
      <c r="B226" s="76"/>
      <c r="C226" s="76"/>
      <c r="D226" s="76"/>
      <c r="E226" s="76"/>
      <c r="F226" s="76"/>
      <c r="G226" s="51"/>
    </row>
    <row r="227" spans="1:7" x14ac:dyDescent="0.25">
      <c r="A227" s="76"/>
      <c r="B227" s="76"/>
      <c r="C227" s="76"/>
      <c r="D227" s="76"/>
      <c r="E227" s="76"/>
      <c r="F227" s="76"/>
      <c r="G227" s="51"/>
    </row>
    <row r="228" spans="1:7" x14ac:dyDescent="0.25">
      <c r="A228" s="76"/>
      <c r="B228" s="76"/>
      <c r="C228" s="76"/>
      <c r="D228" s="76"/>
      <c r="E228" s="76"/>
      <c r="F228" s="76"/>
      <c r="G228" s="51"/>
    </row>
    <row r="229" spans="1:7" x14ac:dyDescent="0.25">
      <c r="A229" s="76"/>
      <c r="B229" s="76"/>
      <c r="C229" s="76"/>
      <c r="D229" s="76"/>
      <c r="E229" s="76"/>
      <c r="F229" s="76"/>
      <c r="G229" s="51"/>
    </row>
    <row r="230" spans="1:7" x14ac:dyDescent="0.25">
      <c r="A230" s="76"/>
      <c r="B230" s="76"/>
      <c r="C230" s="76"/>
      <c r="D230" s="76"/>
      <c r="E230" s="76"/>
      <c r="F230" s="76"/>
      <c r="G230" s="51"/>
    </row>
    <row r="231" spans="1:7" x14ac:dyDescent="0.25">
      <c r="A231" s="76"/>
      <c r="B231" s="76"/>
      <c r="C231" s="76"/>
      <c r="D231" s="76"/>
      <c r="E231" s="76"/>
      <c r="F231" s="76"/>
    </row>
    <row r="232" spans="1:7" x14ac:dyDescent="0.25">
      <c r="A232" s="76"/>
      <c r="B232" s="76"/>
      <c r="C232" s="76"/>
      <c r="D232" s="76"/>
      <c r="E232" s="76"/>
      <c r="F232" s="76"/>
    </row>
    <row r="233" spans="1:7" x14ac:dyDescent="0.25">
      <c r="A233" s="76"/>
      <c r="B233" s="76"/>
      <c r="C233" s="76"/>
      <c r="D233" s="76"/>
      <c r="E233" s="76"/>
      <c r="F233" s="76"/>
    </row>
    <row r="234" spans="1:7" x14ac:dyDescent="0.25">
      <c r="A234" s="76"/>
      <c r="B234" s="76"/>
      <c r="C234" s="76"/>
      <c r="D234" s="76"/>
      <c r="E234" s="76"/>
      <c r="F234" s="76"/>
    </row>
    <row r="235" spans="1:7" x14ac:dyDescent="0.25">
      <c r="A235" s="76"/>
      <c r="B235" s="76"/>
      <c r="C235" s="76"/>
      <c r="D235" s="76"/>
      <c r="E235" s="76"/>
      <c r="F235" s="76"/>
    </row>
    <row r="236" spans="1:7" x14ac:dyDescent="0.25">
      <c r="A236" s="76"/>
      <c r="B236" s="76"/>
      <c r="C236" s="76"/>
      <c r="D236" s="76"/>
      <c r="E236" s="76"/>
      <c r="F236" s="76"/>
    </row>
    <row r="237" spans="1:7" x14ac:dyDescent="0.25">
      <c r="A237" s="76"/>
      <c r="B237" s="76"/>
      <c r="C237" s="76"/>
      <c r="D237" s="76"/>
      <c r="E237" s="76"/>
      <c r="F237" s="76"/>
    </row>
    <row r="238" spans="1:7" x14ac:dyDescent="0.25">
      <c r="A238" s="76"/>
      <c r="B238" s="76"/>
      <c r="C238" s="76"/>
      <c r="D238" s="76"/>
      <c r="E238" s="76"/>
      <c r="F238" s="76"/>
    </row>
    <row r="239" spans="1:7" x14ac:dyDescent="0.25">
      <c r="A239" s="76"/>
      <c r="B239" s="76"/>
      <c r="C239" s="76"/>
      <c r="D239" s="76"/>
      <c r="E239" s="76"/>
      <c r="F239" s="76"/>
    </row>
    <row r="240" spans="1:7" x14ac:dyDescent="0.25">
      <c r="A240" s="76"/>
      <c r="B240" s="76"/>
      <c r="C240" s="76"/>
      <c r="D240" s="76"/>
      <c r="E240" s="76"/>
      <c r="F240" s="76"/>
    </row>
    <row r="241" spans="1:6" x14ac:dyDescent="0.25">
      <c r="A241" s="76"/>
      <c r="B241" s="76"/>
      <c r="C241" s="76"/>
      <c r="D241" s="76"/>
      <c r="E241" s="76"/>
      <c r="F241" s="76"/>
    </row>
    <row r="242" spans="1:6" x14ac:dyDescent="0.25">
      <c r="A242" s="76"/>
      <c r="B242" s="76"/>
      <c r="C242" s="76"/>
      <c r="D242" s="76"/>
      <c r="E242" s="76"/>
      <c r="F242" s="76"/>
    </row>
    <row r="243" spans="1:6" x14ac:dyDescent="0.25">
      <c r="A243" s="76"/>
      <c r="B243" s="76"/>
      <c r="C243" s="76"/>
      <c r="D243" s="76"/>
      <c r="E243" s="76"/>
      <c r="F243" s="76"/>
    </row>
    <row r="244" spans="1:6" x14ac:dyDescent="0.25">
      <c r="A244" s="76"/>
      <c r="B244" s="76"/>
      <c r="C244" s="76"/>
      <c r="D244" s="76"/>
      <c r="E244" s="76"/>
      <c r="F244" s="76"/>
    </row>
    <row r="245" spans="1:6" x14ac:dyDescent="0.25">
      <c r="A245" s="76"/>
      <c r="B245" s="76"/>
      <c r="C245" s="76"/>
      <c r="D245" s="76"/>
      <c r="E245" s="76"/>
      <c r="F245" s="76"/>
    </row>
    <row r="246" spans="1:6" x14ac:dyDescent="0.25">
      <c r="A246" s="76"/>
      <c r="B246" s="76"/>
      <c r="C246" s="76"/>
      <c r="D246" s="76"/>
      <c r="E246" s="76"/>
      <c r="F246" s="76"/>
    </row>
    <row r="247" spans="1:6" x14ac:dyDescent="0.25">
      <c r="A247" s="76"/>
      <c r="B247" s="76"/>
      <c r="C247" s="76"/>
      <c r="D247" s="76"/>
      <c r="E247" s="76"/>
      <c r="F247" s="76"/>
    </row>
    <row r="248" spans="1:6" x14ac:dyDescent="0.25">
      <c r="A248" s="76"/>
      <c r="B248" s="76"/>
      <c r="C248" s="76"/>
      <c r="D248" s="76"/>
      <c r="E248" s="76"/>
      <c r="F248" s="76"/>
    </row>
    <row r="249" spans="1:6" x14ac:dyDescent="0.25">
      <c r="A249" s="76"/>
      <c r="B249" s="76"/>
      <c r="C249" s="76"/>
      <c r="D249" s="76"/>
      <c r="E249" s="76"/>
      <c r="F249" s="76"/>
    </row>
    <row r="250" spans="1:6" x14ac:dyDescent="0.25">
      <c r="A250" s="76"/>
      <c r="B250" s="76"/>
      <c r="C250" s="76"/>
      <c r="D250" s="76"/>
      <c r="E250" s="76"/>
      <c r="F250" s="76"/>
    </row>
    <row r="251" spans="1:6" x14ac:dyDescent="0.25">
      <c r="A251" s="76"/>
      <c r="B251" s="76"/>
      <c r="C251" s="76"/>
      <c r="D251" s="76"/>
      <c r="E251" s="76"/>
      <c r="F251" s="76"/>
    </row>
    <row r="252" spans="1:6" x14ac:dyDescent="0.25">
      <c r="A252" s="76"/>
      <c r="B252" s="76"/>
      <c r="C252" s="76"/>
      <c r="D252" s="76"/>
      <c r="E252" s="76"/>
      <c r="F252" s="76"/>
    </row>
    <row r="253" spans="1:6" x14ac:dyDescent="0.25">
      <c r="A253" s="76"/>
      <c r="B253" s="76"/>
      <c r="C253" s="76"/>
      <c r="D253" s="76"/>
      <c r="E253" s="76"/>
      <c r="F253" s="76"/>
    </row>
    <row r="254" spans="1:6" x14ac:dyDescent="0.25">
      <c r="A254" s="76"/>
      <c r="B254" s="76"/>
      <c r="C254" s="76"/>
      <c r="D254" s="76"/>
      <c r="E254" s="76"/>
      <c r="F254" s="76"/>
    </row>
    <row r="255" spans="1:6" x14ac:dyDescent="0.25">
      <c r="A255" s="76"/>
      <c r="B255" s="76"/>
      <c r="C255" s="76"/>
      <c r="D255" s="76"/>
      <c r="E255" s="76"/>
      <c r="F255" s="7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8"/>
  <sheetViews>
    <sheetView workbookViewId="0">
      <selection activeCell="C24" sqref="C24"/>
    </sheetView>
  </sheetViews>
  <sheetFormatPr defaultRowHeight="15.75" x14ac:dyDescent="0.25"/>
  <cols>
    <col min="1" max="1" width="15.7109375" style="16" bestFit="1" customWidth="1"/>
    <col min="2" max="2" width="19.85546875" style="1" customWidth="1"/>
    <col min="3" max="6" width="18" style="1" customWidth="1"/>
    <col min="7" max="7" width="10.42578125" style="1" customWidth="1"/>
    <col min="8" max="220" width="9.140625" style="1"/>
    <col min="221" max="221" width="18" style="1" customWidth="1"/>
    <col min="222" max="222" width="18" style="1" bestFit="1" customWidth="1"/>
    <col min="223" max="225" width="18" style="1" customWidth="1"/>
    <col min="226" max="226" width="6.28515625" style="1" customWidth="1"/>
    <col min="227" max="231" width="18" style="1" customWidth="1"/>
    <col min="232" max="232" width="12.7109375" style="1" customWidth="1"/>
    <col min="233" max="236" width="18.5703125" style="1" customWidth="1"/>
    <col min="237" max="237" width="17.85546875" style="1" customWidth="1"/>
    <col min="238" max="476" width="9.140625" style="1"/>
    <col min="477" max="477" width="18" style="1" customWidth="1"/>
    <col min="478" max="478" width="18" style="1" bestFit="1" customWidth="1"/>
    <col min="479" max="481" width="18" style="1" customWidth="1"/>
    <col min="482" max="482" width="6.28515625" style="1" customWidth="1"/>
    <col min="483" max="487" width="18" style="1" customWidth="1"/>
    <col min="488" max="488" width="12.7109375" style="1" customWidth="1"/>
    <col min="489" max="492" width="18.5703125" style="1" customWidth="1"/>
    <col min="493" max="493" width="17.85546875" style="1" customWidth="1"/>
    <col min="494" max="732" width="9.140625" style="1"/>
    <col min="733" max="733" width="18" style="1" customWidth="1"/>
    <col min="734" max="734" width="18" style="1" bestFit="1" customWidth="1"/>
    <col min="735" max="737" width="18" style="1" customWidth="1"/>
    <col min="738" max="738" width="6.28515625" style="1" customWidth="1"/>
    <col min="739" max="743" width="18" style="1" customWidth="1"/>
    <col min="744" max="744" width="12.7109375" style="1" customWidth="1"/>
    <col min="745" max="748" width="18.5703125" style="1" customWidth="1"/>
    <col min="749" max="749" width="17.85546875" style="1" customWidth="1"/>
    <col min="750" max="988" width="9.140625" style="1"/>
    <col min="989" max="989" width="18" style="1" customWidth="1"/>
    <col min="990" max="990" width="18" style="1" bestFit="1" customWidth="1"/>
    <col min="991" max="993" width="18" style="1" customWidth="1"/>
    <col min="994" max="994" width="6.28515625" style="1" customWidth="1"/>
    <col min="995" max="999" width="18" style="1" customWidth="1"/>
    <col min="1000" max="1000" width="12.7109375" style="1" customWidth="1"/>
    <col min="1001" max="1004" width="18.5703125" style="1" customWidth="1"/>
    <col min="1005" max="1005" width="17.85546875" style="1" customWidth="1"/>
    <col min="1006" max="1244" width="9.140625" style="1"/>
    <col min="1245" max="1245" width="18" style="1" customWidth="1"/>
    <col min="1246" max="1246" width="18" style="1" bestFit="1" customWidth="1"/>
    <col min="1247" max="1249" width="18" style="1" customWidth="1"/>
    <col min="1250" max="1250" width="6.28515625" style="1" customWidth="1"/>
    <col min="1251" max="1255" width="18" style="1" customWidth="1"/>
    <col min="1256" max="1256" width="12.7109375" style="1" customWidth="1"/>
    <col min="1257" max="1260" width="18.5703125" style="1" customWidth="1"/>
    <col min="1261" max="1261" width="17.85546875" style="1" customWidth="1"/>
    <col min="1262" max="1500" width="9.140625" style="1"/>
    <col min="1501" max="1501" width="18" style="1" customWidth="1"/>
    <col min="1502" max="1502" width="18" style="1" bestFit="1" customWidth="1"/>
    <col min="1503" max="1505" width="18" style="1" customWidth="1"/>
    <col min="1506" max="1506" width="6.28515625" style="1" customWidth="1"/>
    <col min="1507" max="1511" width="18" style="1" customWidth="1"/>
    <col min="1512" max="1512" width="12.7109375" style="1" customWidth="1"/>
    <col min="1513" max="1516" width="18.5703125" style="1" customWidth="1"/>
    <col min="1517" max="1517" width="17.85546875" style="1" customWidth="1"/>
    <col min="1518" max="1756" width="9.140625" style="1"/>
    <col min="1757" max="1757" width="18" style="1" customWidth="1"/>
    <col min="1758" max="1758" width="18" style="1" bestFit="1" customWidth="1"/>
    <col min="1759" max="1761" width="18" style="1" customWidth="1"/>
    <col min="1762" max="1762" width="6.28515625" style="1" customWidth="1"/>
    <col min="1763" max="1767" width="18" style="1" customWidth="1"/>
    <col min="1768" max="1768" width="12.7109375" style="1" customWidth="1"/>
    <col min="1769" max="1772" width="18.5703125" style="1" customWidth="1"/>
    <col min="1773" max="1773" width="17.85546875" style="1" customWidth="1"/>
    <col min="1774" max="2012" width="9.140625" style="1"/>
    <col min="2013" max="2013" width="18" style="1" customWidth="1"/>
    <col min="2014" max="2014" width="18" style="1" bestFit="1" customWidth="1"/>
    <col min="2015" max="2017" width="18" style="1" customWidth="1"/>
    <col min="2018" max="2018" width="6.28515625" style="1" customWidth="1"/>
    <col min="2019" max="2023" width="18" style="1" customWidth="1"/>
    <col min="2024" max="2024" width="12.7109375" style="1" customWidth="1"/>
    <col min="2025" max="2028" width="18.5703125" style="1" customWidth="1"/>
    <col min="2029" max="2029" width="17.85546875" style="1" customWidth="1"/>
    <col min="2030" max="2268" width="9.140625" style="1"/>
    <col min="2269" max="2269" width="18" style="1" customWidth="1"/>
    <col min="2270" max="2270" width="18" style="1" bestFit="1" customWidth="1"/>
    <col min="2271" max="2273" width="18" style="1" customWidth="1"/>
    <col min="2274" max="2274" width="6.28515625" style="1" customWidth="1"/>
    <col min="2275" max="2279" width="18" style="1" customWidth="1"/>
    <col min="2280" max="2280" width="12.7109375" style="1" customWidth="1"/>
    <col min="2281" max="2284" width="18.5703125" style="1" customWidth="1"/>
    <col min="2285" max="2285" width="17.85546875" style="1" customWidth="1"/>
    <col min="2286" max="2524" width="9.140625" style="1"/>
    <col min="2525" max="2525" width="18" style="1" customWidth="1"/>
    <col min="2526" max="2526" width="18" style="1" bestFit="1" customWidth="1"/>
    <col min="2527" max="2529" width="18" style="1" customWidth="1"/>
    <col min="2530" max="2530" width="6.28515625" style="1" customWidth="1"/>
    <col min="2531" max="2535" width="18" style="1" customWidth="1"/>
    <col min="2536" max="2536" width="12.7109375" style="1" customWidth="1"/>
    <col min="2537" max="2540" width="18.5703125" style="1" customWidth="1"/>
    <col min="2541" max="2541" width="17.85546875" style="1" customWidth="1"/>
    <col min="2542" max="2780" width="9.140625" style="1"/>
    <col min="2781" max="2781" width="18" style="1" customWidth="1"/>
    <col min="2782" max="2782" width="18" style="1" bestFit="1" customWidth="1"/>
    <col min="2783" max="2785" width="18" style="1" customWidth="1"/>
    <col min="2786" max="2786" width="6.28515625" style="1" customWidth="1"/>
    <col min="2787" max="2791" width="18" style="1" customWidth="1"/>
    <col min="2792" max="2792" width="12.7109375" style="1" customWidth="1"/>
    <col min="2793" max="2796" width="18.5703125" style="1" customWidth="1"/>
    <col min="2797" max="2797" width="17.85546875" style="1" customWidth="1"/>
    <col min="2798" max="3036" width="9.140625" style="1"/>
    <col min="3037" max="3037" width="18" style="1" customWidth="1"/>
    <col min="3038" max="3038" width="18" style="1" bestFit="1" customWidth="1"/>
    <col min="3039" max="3041" width="18" style="1" customWidth="1"/>
    <col min="3042" max="3042" width="6.28515625" style="1" customWidth="1"/>
    <col min="3043" max="3047" width="18" style="1" customWidth="1"/>
    <col min="3048" max="3048" width="12.7109375" style="1" customWidth="1"/>
    <col min="3049" max="3052" width="18.5703125" style="1" customWidth="1"/>
    <col min="3053" max="3053" width="17.85546875" style="1" customWidth="1"/>
    <col min="3054" max="3292" width="9.140625" style="1"/>
    <col min="3293" max="3293" width="18" style="1" customWidth="1"/>
    <col min="3294" max="3294" width="18" style="1" bestFit="1" customWidth="1"/>
    <col min="3295" max="3297" width="18" style="1" customWidth="1"/>
    <col min="3298" max="3298" width="6.28515625" style="1" customWidth="1"/>
    <col min="3299" max="3303" width="18" style="1" customWidth="1"/>
    <col min="3304" max="3304" width="12.7109375" style="1" customWidth="1"/>
    <col min="3305" max="3308" width="18.5703125" style="1" customWidth="1"/>
    <col min="3309" max="3309" width="17.85546875" style="1" customWidth="1"/>
    <col min="3310" max="3548" width="9.140625" style="1"/>
    <col min="3549" max="3549" width="18" style="1" customWidth="1"/>
    <col min="3550" max="3550" width="18" style="1" bestFit="1" customWidth="1"/>
    <col min="3551" max="3553" width="18" style="1" customWidth="1"/>
    <col min="3554" max="3554" width="6.28515625" style="1" customWidth="1"/>
    <col min="3555" max="3559" width="18" style="1" customWidth="1"/>
    <col min="3560" max="3560" width="12.7109375" style="1" customWidth="1"/>
    <col min="3561" max="3564" width="18.5703125" style="1" customWidth="1"/>
    <col min="3565" max="3565" width="17.85546875" style="1" customWidth="1"/>
    <col min="3566" max="3804" width="9.140625" style="1"/>
    <col min="3805" max="3805" width="18" style="1" customWidth="1"/>
    <col min="3806" max="3806" width="18" style="1" bestFit="1" customWidth="1"/>
    <col min="3807" max="3809" width="18" style="1" customWidth="1"/>
    <col min="3810" max="3810" width="6.28515625" style="1" customWidth="1"/>
    <col min="3811" max="3815" width="18" style="1" customWidth="1"/>
    <col min="3816" max="3816" width="12.7109375" style="1" customWidth="1"/>
    <col min="3817" max="3820" width="18.5703125" style="1" customWidth="1"/>
    <col min="3821" max="3821" width="17.85546875" style="1" customWidth="1"/>
    <col min="3822" max="4060" width="9.140625" style="1"/>
    <col min="4061" max="4061" width="18" style="1" customWidth="1"/>
    <col min="4062" max="4062" width="18" style="1" bestFit="1" customWidth="1"/>
    <col min="4063" max="4065" width="18" style="1" customWidth="1"/>
    <col min="4066" max="4066" width="6.28515625" style="1" customWidth="1"/>
    <col min="4067" max="4071" width="18" style="1" customWidth="1"/>
    <col min="4072" max="4072" width="12.7109375" style="1" customWidth="1"/>
    <col min="4073" max="4076" width="18.5703125" style="1" customWidth="1"/>
    <col min="4077" max="4077" width="17.85546875" style="1" customWidth="1"/>
    <col min="4078" max="4316" width="9.140625" style="1"/>
    <col min="4317" max="4317" width="18" style="1" customWidth="1"/>
    <col min="4318" max="4318" width="18" style="1" bestFit="1" customWidth="1"/>
    <col min="4319" max="4321" width="18" style="1" customWidth="1"/>
    <col min="4322" max="4322" width="6.28515625" style="1" customWidth="1"/>
    <col min="4323" max="4327" width="18" style="1" customWidth="1"/>
    <col min="4328" max="4328" width="12.7109375" style="1" customWidth="1"/>
    <col min="4329" max="4332" width="18.5703125" style="1" customWidth="1"/>
    <col min="4333" max="4333" width="17.85546875" style="1" customWidth="1"/>
    <col min="4334" max="4572" width="9.140625" style="1"/>
    <col min="4573" max="4573" width="18" style="1" customWidth="1"/>
    <col min="4574" max="4574" width="18" style="1" bestFit="1" customWidth="1"/>
    <col min="4575" max="4577" width="18" style="1" customWidth="1"/>
    <col min="4578" max="4578" width="6.28515625" style="1" customWidth="1"/>
    <col min="4579" max="4583" width="18" style="1" customWidth="1"/>
    <col min="4584" max="4584" width="12.7109375" style="1" customWidth="1"/>
    <col min="4585" max="4588" width="18.5703125" style="1" customWidth="1"/>
    <col min="4589" max="4589" width="17.85546875" style="1" customWidth="1"/>
    <col min="4590" max="4828" width="9.140625" style="1"/>
    <col min="4829" max="4829" width="18" style="1" customWidth="1"/>
    <col min="4830" max="4830" width="18" style="1" bestFit="1" customWidth="1"/>
    <col min="4831" max="4833" width="18" style="1" customWidth="1"/>
    <col min="4834" max="4834" width="6.28515625" style="1" customWidth="1"/>
    <col min="4835" max="4839" width="18" style="1" customWidth="1"/>
    <col min="4840" max="4840" width="12.7109375" style="1" customWidth="1"/>
    <col min="4841" max="4844" width="18.5703125" style="1" customWidth="1"/>
    <col min="4845" max="4845" width="17.85546875" style="1" customWidth="1"/>
    <col min="4846" max="5084" width="9.140625" style="1"/>
    <col min="5085" max="5085" width="18" style="1" customWidth="1"/>
    <col min="5086" max="5086" width="18" style="1" bestFit="1" customWidth="1"/>
    <col min="5087" max="5089" width="18" style="1" customWidth="1"/>
    <col min="5090" max="5090" width="6.28515625" style="1" customWidth="1"/>
    <col min="5091" max="5095" width="18" style="1" customWidth="1"/>
    <col min="5096" max="5096" width="12.7109375" style="1" customWidth="1"/>
    <col min="5097" max="5100" width="18.5703125" style="1" customWidth="1"/>
    <col min="5101" max="5101" width="17.85546875" style="1" customWidth="1"/>
    <col min="5102" max="5340" width="9.140625" style="1"/>
    <col min="5341" max="5341" width="18" style="1" customWidth="1"/>
    <col min="5342" max="5342" width="18" style="1" bestFit="1" customWidth="1"/>
    <col min="5343" max="5345" width="18" style="1" customWidth="1"/>
    <col min="5346" max="5346" width="6.28515625" style="1" customWidth="1"/>
    <col min="5347" max="5351" width="18" style="1" customWidth="1"/>
    <col min="5352" max="5352" width="12.7109375" style="1" customWidth="1"/>
    <col min="5353" max="5356" width="18.5703125" style="1" customWidth="1"/>
    <col min="5357" max="5357" width="17.85546875" style="1" customWidth="1"/>
    <col min="5358" max="5596" width="9.140625" style="1"/>
    <col min="5597" max="5597" width="18" style="1" customWidth="1"/>
    <col min="5598" max="5598" width="18" style="1" bestFit="1" customWidth="1"/>
    <col min="5599" max="5601" width="18" style="1" customWidth="1"/>
    <col min="5602" max="5602" width="6.28515625" style="1" customWidth="1"/>
    <col min="5603" max="5607" width="18" style="1" customWidth="1"/>
    <col min="5608" max="5608" width="12.7109375" style="1" customWidth="1"/>
    <col min="5609" max="5612" width="18.5703125" style="1" customWidth="1"/>
    <col min="5613" max="5613" width="17.85546875" style="1" customWidth="1"/>
    <col min="5614" max="5852" width="9.140625" style="1"/>
    <col min="5853" max="5853" width="18" style="1" customWidth="1"/>
    <col min="5854" max="5854" width="18" style="1" bestFit="1" customWidth="1"/>
    <col min="5855" max="5857" width="18" style="1" customWidth="1"/>
    <col min="5858" max="5858" width="6.28515625" style="1" customWidth="1"/>
    <col min="5859" max="5863" width="18" style="1" customWidth="1"/>
    <col min="5864" max="5864" width="12.7109375" style="1" customWidth="1"/>
    <col min="5865" max="5868" width="18.5703125" style="1" customWidth="1"/>
    <col min="5869" max="5869" width="17.85546875" style="1" customWidth="1"/>
    <col min="5870" max="6108" width="9.140625" style="1"/>
    <col min="6109" max="6109" width="18" style="1" customWidth="1"/>
    <col min="6110" max="6110" width="18" style="1" bestFit="1" customWidth="1"/>
    <col min="6111" max="6113" width="18" style="1" customWidth="1"/>
    <col min="6114" max="6114" width="6.28515625" style="1" customWidth="1"/>
    <col min="6115" max="6119" width="18" style="1" customWidth="1"/>
    <col min="6120" max="6120" width="12.7109375" style="1" customWidth="1"/>
    <col min="6121" max="6124" width="18.5703125" style="1" customWidth="1"/>
    <col min="6125" max="6125" width="17.85546875" style="1" customWidth="1"/>
    <col min="6126" max="6364" width="9.140625" style="1"/>
    <col min="6365" max="6365" width="18" style="1" customWidth="1"/>
    <col min="6366" max="6366" width="18" style="1" bestFit="1" customWidth="1"/>
    <col min="6367" max="6369" width="18" style="1" customWidth="1"/>
    <col min="6370" max="6370" width="6.28515625" style="1" customWidth="1"/>
    <col min="6371" max="6375" width="18" style="1" customWidth="1"/>
    <col min="6376" max="6376" width="12.7109375" style="1" customWidth="1"/>
    <col min="6377" max="6380" width="18.5703125" style="1" customWidth="1"/>
    <col min="6381" max="6381" width="17.85546875" style="1" customWidth="1"/>
    <col min="6382" max="6620" width="9.140625" style="1"/>
    <col min="6621" max="6621" width="18" style="1" customWidth="1"/>
    <col min="6622" max="6622" width="18" style="1" bestFit="1" customWidth="1"/>
    <col min="6623" max="6625" width="18" style="1" customWidth="1"/>
    <col min="6626" max="6626" width="6.28515625" style="1" customWidth="1"/>
    <col min="6627" max="6631" width="18" style="1" customWidth="1"/>
    <col min="6632" max="6632" width="12.7109375" style="1" customWidth="1"/>
    <col min="6633" max="6636" width="18.5703125" style="1" customWidth="1"/>
    <col min="6637" max="6637" width="17.85546875" style="1" customWidth="1"/>
    <col min="6638" max="6876" width="9.140625" style="1"/>
    <col min="6877" max="6877" width="18" style="1" customWidth="1"/>
    <col min="6878" max="6878" width="18" style="1" bestFit="1" customWidth="1"/>
    <col min="6879" max="6881" width="18" style="1" customWidth="1"/>
    <col min="6882" max="6882" width="6.28515625" style="1" customWidth="1"/>
    <col min="6883" max="6887" width="18" style="1" customWidth="1"/>
    <col min="6888" max="6888" width="12.7109375" style="1" customWidth="1"/>
    <col min="6889" max="6892" width="18.5703125" style="1" customWidth="1"/>
    <col min="6893" max="6893" width="17.85546875" style="1" customWidth="1"/>
    <col min="6894" max="7132" width="9.140625" style="1"/>
    <col min="7133" max="7133" width="18" style="1" customWidth="1"/>
    <col min="7134" max="7134" width="18" style="1" bestFit="1" customWidth="1"/>
    <col min="7135" max="7137" width="18" style="1" customWidth="1"/>
    <col min="7138" max="7138" width="6.28515625" style="1" customWidth="1"/>
    <col min="7139" max="7143" width="18" style="1" customWidth="1"/>
    <col min="7144" max="7144" width="12.7109375" style="1" customWidth="1"/>
    <col min="7145" max="7148" width="18.5703125" style="1" customWidth="1"/>
    <col min="7149" max="7149" width="17.85546875" style="1" customWidth="1"/>
    <col min="7150" max="7388" width="9.140625" style="1"/>
    <col min="7389" max="7389" width="18" style="1" customWidth="1"/>
    <col min="7390" max="7390" width="18" style="1" bestFit="1" customWidth="1"/>
    <col min="7391" max="7393" width="18" style="1" customWidth="1"/>
    <col min="7394" max="7394" width="6.28515625" style="1" customWidth="1"/>
    <col min="7395" max="7399" width="18" style="1" customWidth="1"/>
    <col min="7400" max="7400" width="12.7109375" style="1" customWidth="1"/>
    <col min="7401" max="7404" width="18.5703125" style="1" customWidth="1"/>
    <col min="7405" max="7405" width="17.85546875" style="1" customWidth="1"/>
    <col min="7406" max="7644" width="9.140625" style="1"/>
    <col min="7645" max="7645" width="18" style="1" customWidth="1"/>
    <col min="7646" max="7646" width="18" style="1" bestFit="1" customWidth="1"/>
    <col min="7647" max="7649" width="18" style="1" customWidth="1"/>
    <col min="7650" max="7650" width="6.28515625" style="1" customWidth="1"/>
    <col min="7651" max="7655" width="18" style="1" customWidth="1"/>
    <col min="7656" max="7656" width="12.7109375" style="1" customWidth="1"/>
    <col min="7657" max="7660" width="18.5703125" style="1" customWidth="1"/>
    <col min="7661" max="7661" width="17.85546875" style="1" customWidth="1"/>
    <col min="7662" max="7900" width="9.140625" style="1"/>
    <col min="7901" max="7901" width="18" style="1" customWidth="1"/>
    <col min="7902" max="7902" width="18" style="1" bestFit="1" customWidth="1"/>
    <col min="7903" max="7905" width="18" style="1" customWidth="1"/>
    <col min="7906" max="7906" width="6.28515625" style="1" customWidth="1"/>
    <col min="7907" max="7911" width="18" style="1" customWidth="1"/>
    <col min="7912" max="7912" width="12.7109375" style="1" customWidth="1"/>
    <col min="7913" max="7916" width="18.5703125" style="1" customWidth="1"/>
    <col min="7917" max="7917" width="17.85546875" style="1" customWidth="1"/>
    <col min="7918" max="8156" width="9.140625" style="1"/>
    <col min="8157" max="8157" width="18" style="1" customWidth="1"/>
    <col min="8158" max="8158" width="18" style="1" bestFit="1" customWidth="1"/>
    <col min="8159" max="8161" width="18" style="1" customWidth="1"/>
    <col min="8162" max="8162" width="6.28515625" style="1" customWidth="1"/>
    <col min="8163" max="8167" width="18" style="1" customWidth="1"/>
    <col min="8168" max="8168" width="12.7109375" style="1" customWidth="1"/>
    <col min="8169" max="8172" width="18.5703125" style="1" customWidth="1"/>
    <col min="8173" max="8173" width="17.85546875" style="1" customWidth="1"/>
    <col min="8174" max="8412" width="9.140625" style="1"/>
    <col min="8413" max="8413" width="18" style="1" customWidth="1"/>
    <col min="8414" max="8414" width="18" style="1" bestFit="1" customWidth="1"/>
    <col min="8415" max="8417" width="18" style="1" customWidth="1"/>
    <col min="8418" max="8418" width="6.28515625" style="1" customWidth="1"/>
    <col min="8419" max="8423" width="18" style="1" customWidth="1"/>
    <col min="8424" max="8424" width="12.7109375" style="1" customWidth="1"/>
    <col min="8425" max="8428" width="18.5703125" style="1" customWidth="1"/>
    <col min="8429" max="8429" width="17.85546875" style="1" customWidth="1"/>
    <col min="8430" max="8668" width="9.140625" style="1"/>
    <col min="8669" max="8669" width="18" style="1" customWidth="1"/>
    <col min="8670" max="8670" width="18" style="1" bestFit="1" customWidth="1"/>
    <col min="8671" max="8673" width="18" style="1" customWidth="1"/>
    <col min="8674" max="8674" width="6.28515625" style="1" customWidth="1"/>
    <col min="8675" max="8679" width="18" style="1" customWidth="1"/>
    <col min="8680" max="8680" width="12.7109375" style="1" customWidth="1"/>
    <col min="8681" max="8684" width="18.5703125" style="1" customWidth="1"/>
    <col min="8685" max="8685" width="17.85546875" style="1" customWidth="1"/>
    <col min="8686" max="8924" width="9.140625" style="1"/>
    <col min="8925" max="8925" width="18" style="1" customWidth="1"/>
    <col min="8926" max="8926" width="18" style="1" bestFit="1" customWidth="1"/>
    <col min="8927" max="8929" width="18" style="1" customWidth="1"/>
    <col min="8930" max="8930" width="6.28515625" style="1" customWidth="1"/>
    <col min="8931" max="8935" width="18" style="1" customWidth="1"/>
    <col min="8936" max="8936" width="12.7109375" style="1" customWidth="1"/>
    <col min="8937" max="8940" width="18.5703125" style="1" customWidth="1"/>
    <col min="8941" max="8941" width="17.85546875" style="1" customWidth="1"/>
    <col min="8942" max="9180" width="9.140625" style="1"/>
    <col min="9181" max="9181" width="18" style="1" customWidth="1"/>
    <col min="9182" max="9182" width="18" style="1" bestFit="1" customWidth="1"/>
    <col min="9183" max="9185" width="18" style="1" customWidth="1"/>
    <col min="9186" max="9186" width="6.28515625" style="1" customWidth="1"/>
    <col min="9187" max="9191" width="18" style="1" customWidth="1"/>
    <col min="9192" max="9192" width="12.7109375" style="1" customWidth="1"/>
    <col min="9193" max="9196" width="18.5703125" style="1" customWidth="1"/>
    <col min="9197" max="9197" width="17.85546875" style="1" customWidth="1"/>
    <col min="9198" max="9436" width="9.140625" style="1"/>
    <col min="9437" max="9437" width="18" style="1" customWidth="1"/>
    <col min="9438" max="9438" width="18" style="1" bestFit="1" customWidth="1"/>
    <col min="9439" max="9441" width="18" style="1" customWidth="1"/>
    <col min="9442" max="9442" width="6.28515625" style="1" customWidth="1"/>
    <col min="9443" max="9447" width="18" style="1" customWidth="1"/>
    <col min="9448" max="9448" width="12.7109375" style="1" customWidth="1"/>
    <col min="9449" max="9452" width="18.5703125" style="1" customWidth="1"/>
    <col min="9453" max="9453" width="17.85546875" style="1" customWidth="1"/>
    <col min="9454" max="9692" width="9.140625" style="1"/>
    <col min="9693" max="9693" width="18" style="1" customWidth="1"/>
    <col min="9694" max="9694" width="18" style="1" bestFit="1" customWidth="1"/>
    <col min="9695" max="9697" width="18" style="1" customWidth="1"/>
    <col min="9698" max="9698" width="6.28515625" style="1" customWidth="1"/>
    <col min="9699" max="9703" width="18" style="1" customWidth="1"/>
    <col min="9704" max="9704" width="12.7109375" style="1" customWidth="1"/>
    <col min="9705" max="9708" width="18.5703125" style="1" customWidth="1"/>
    <col min="9709" max="9709" width="17.85546875" style="1" customWidth="1"/>
    <col min="9710" max="9948" width="9.140625" style="1"/>
    <col min="9949" max="9949" width="18" style="1" customWidth="1"/>
    <col min="9950" max="9950" width="18" style="1" bestFit="1" customWidth="1"/>
    <col min="9951" max="9953" width="18" style="1" customWidth="1"/>
    <col min="9954" max="9954" width="6.28515625" style="1" customWidth="1"/>
    <col min="9955" max="9959" width="18" style="1" customWidth="1"/>
    <col min="9960" max="9960" width="12.7109375" style="1" customWidth="1"/>
    <col min="9961" max="9964" width="18.5703125" style="1" customWidth="1"/>
    <col min="9965" max="9965" width="17.85546875" style="1" customWidth="1"/>
    <col min="9966" max="10204" width="9.140625" style="1"/>
    <col min="10205" max="10205" width="18" style="1" customWidth="1"/>
    <col min="10206" max="10206" width="18" style="1" bestFit="1" customWidth="1"/>
    <col min="10207" max="10209" width="18" style="1" customWidth="1"/>
    <col min="10210" max="10210" width="6.28515625" style="1" customWidth="1"/>
    <col min="10211" max="10215" width="18" style="1" customWidth="1"/>
    <col min="10216" max="10216" width="12.7109375" style="1" customWidth="1"/>
    <col min="10217" max="10220" width="18.5703125" style="1" customWidth="1"/>
    <col min="10221" max="10221" width="17.85546875" style="1" customWidth="1"/>
    <col min="10222" max="10460" width="9.140625" style="1"/>
    <col min="10461" max="10461" width="18" style="1" customWidth="1"/>
    <col min="10462" max="10462" width="18" style="1" bestFit="1" customWidth="1"/>
    <col min="10463" max="10465" width="18" style="1" customWidth="1"/>
    <col min="10466" max="10466" width="6.28515625" style="1" customWidth="1"/>
    <col min="10467" max="10471" width="18" style="1" customWidth="1"/>
    <col min="10472" max="10472" width="12.7109375" style="1" customWidth="1"/>
    <col min="10473" max="10476" width="18.5703125" style="1" customWidth="1"/>
    <col min="10477" max="10477" width="17.85546875" style="1" customWidth="1"/>
    <col min="10478" max="10716" width="9.140625" style="1"/>
    <col min="10717" max="10717" width="18" style="1" customWidth="1"/>
    <col min="10718" max="10718" width="18" style="1" bestFit="1" customWidth="1"/>
    <col min="10719" max="10721" width="18" style="1" customWidth="1"/>
    <col min="10722" max="10722" width="6.28515625" style="1" customWidth="1"/>
    <col min="10723" max="10727" width="18" style="1" customWidth="1"/>
    <col min="10728" max="10728" width="12.7109375" style="1" customWidth="1"/>
    <col min="10729" max="10732" width="18.5703125" style="1" customWidth="1"/>
    <col min="10733" max="10733" width="17.85546875" style="1" customWidth="1"/>
    <col min="10734" max="10972" width="9.140625" style="1"/>
    <col min="10973" max="10973" width="18" style="1" customWidth="1"/>
    <col min="10974" max="10974" width="18" style="1" bestFit="1" customWidth="1"/>
    <col min="10975" max="10977" width="18" style="1" customWidth="1"/>
    <col min="10978" max="10978" width="6.28515625" style="1" customWidth="1"/>
    <col min="10979" max="10983" width="18" style="1" customWidth="1"/>
    <col min="10984" max="10984" width="12.7109375" style="1" customWidth="1"/>
    <col min="10985" max="10988" width="18.5703125" style="1" customWidth="1"/>
    <col min="10989" max="10989" width="17.85546875" style="1" customWidth="1"/>
    <col min="10990" max="11228" width="9.140625" style="1"/>
    <col min="11229" max="11229" width="18" style="1" customWidth="1"/>
    <col min="11230" max="11230" width="18" style="1" bestFit="1" customWidth="1"/>
    <col min="11231" max="11233" width="18" style="1" customWidth="1"/>
    <col min="11234" max="11234" width="6.28515625" style="1" customWidth="1"/>
    <col min="11235" max="11239" width="18" style="1" customWidth="1"/>
    <col min="11240" max="11240" width="12.7109375" style="1" customWidth="1"/>
    <col min="11241" max="11244" width="18.5703125" style="1" customWidth="1"/>
    <col min="11245" max="11245" width="17.85546875" style="1" customWidth="1"/>
    <col min="11246" max="11484" width="9.140625" style="1"/>
    <col min="11485" max="11485" width="18" style="1" customWidth="1"/>
    <col min="11486" max="11486" width="18" style="1" bestFit="1" customWidth="1"/>
    <col min="11487" max="11489" width="18" style="1" customWidth="1"/>
    <col min="11490" max="11490" width="6.28515625" style="1" customWidth="1"/>
    <col min="11491" max="11495" width="18" style="1" customWidth="1"/>
    <col min="11496" max="11496" width="12.7109375" style="1" customWidth="1"/>
    <col min="11497" max="11500" width="18.5703125" style="1" customWidth="1"/>
    <col min="11501" max="11501" width="17.85546875" style="1" customWidth="1"/>
    <col min="11502" max="11740" width="9.140625" style="1"/>
    <col min="11741" max="11741" width="18" style="1" customWidth="1"/>
    <col min="11742" max="11742" width="18" style="1" bestFit="1" customWidth="1"/>
    <col min="11743" max="11745" width="18" style="1" customWidth="1"/>
    <col min="11746" max="11746" width="6.28515625" style="1" customWidth="1"/>
    <col min="11747" max="11751" width="18" style="1" customWidth="1"/>
    <col min="11752" max="11752" width="12.7109375" style="1" customWidth="1"/>
    <col min="11753" max="11756" width="18.5703125" style="1" customWidth="1"/>
    <col min="11757" max="11757" width="17.85546875" style="1" customWidth="1"/>
    <col min="11758" max="11996" width="9.140625" style="1"/>
    <col min="11997" max="11997" width="18" style="1" customWidth="1"/>
    <col min="11998" max="11998" width="18" style="1" bestFit="1" customWidth="1"/>
    <col min="11999" max="12001" width="18" style="1" customWidth="1"/>
    <col min="12002" max="12002" width="6.28515625" style="1" customWidth="1"/>
    <col min="12003" max="12007" width="18" style="1" customWidth="1"/>
    <col min="12008" max="12008" width="12.7109375" style="1" customWidth="1"/>
    <col min="12009" max="12012" width="18.5703125" style="1" customWidth="1"/>
    <col min="12013" max="12013" width="17.85546875" style="1" customWidth="1"/>
    <col min="12014" max="12252" width="9.140625" style="1"/>
    <col min="12253" max="12253" width="18" style="1" customWidth="1"/>
    <col min="12254" max="12254" width="18" style="1" bestFit="1" customWidth="1"/>
    <col min="12255" max="12257" width="18" style="1" customWidth="1"/>
    <col min="12258" max="12258" width="6.28515625" style="1" customWidth="1"/>
    <col min="12259" max="12263" width="18" style="1" customWidth="1"/>
    <col min="12264" max="12264" width="12.7109375" style="1" customWidth="1"/>
    <col min="12265" max="12268" width="18.5703125" style="1" customWidth="1"/>
    <col min="12269" max="12269" width="17.85546875" style="1" customWidth="1"/>
    <col min="12270" max="12508" width="9.140625" style="1"/>
    <col min="12509" max="12509" width="18" style="1" customWidth="1"/>
    <col min="12510" max="12510" width="18" style="1" bestFit="1" customWidth="1"/>
    <col min="12511" max="12513" width="18" style="1" customWidth="1"/>
    <col min="12514" max="12514" width="6.28515625" style="1" customWidth="1"/>
    <col min="12515" max="12519" width="18" style="1" customWidth="1"/>
    <col min="12520" max="12520" width="12.7109375" style="1" customWidth="1"/>
    <col min="12521" max="12524" width="18.5703125" style="1" customWidth="1"/>
    <col min="12525" max="12525" width="17.85546875" style="1" customWidth="1"/>
    <col min="12526" max="12764" width="9.140625" style="1"/>
    <col min="12765" max="12765" width="18" style="1" customWidth="1"/>
    <col min="12766" max="12766" width="18" style="1" bestFit="1" customWidth="1"/>
    <col min="12767" max="12769" width="18" style="1" customWidth="1"/>
    <col min="12770" max="12770" width="6.28515625" style="1" customWidth="1"/>
    <col min="12771" max="12775" width="18" style="1" customWidth="1"/>
    <col min="12776" max="12776" width="12.7109375" style="1" customWidth="1"/>
    <col min="12777" max="12780" width="18.5703125" style="1" customWidth="1"/>
    <col min="12781" max="12781" width="17.85546875" style="1" customWidth="1"/>
    <col min="12782" max="13020" width="9.140625" style="1"/>
    <col min="13021" max="13021" width="18" style="1" customWidth="1"/>
    <col min="13022" max="13022" width="18" style="1" bestFit="1" customWidth="1"/>
    <col min="13023" max="13025" width="18" style="1" customWidth="1"/>
    <col min="13026" max="13026" width="6.28515625" style="1" customWidth="1"/>
    <col min="13027" max="13031" width="18" style="1" customWidth="1"/>
    <col min="13032" max="13032" width="12.7109375" style="1" customWidth="1"/>
    <col min="13033" max="13036" width="18.5703125" style="1" customWidth="1"/>
    <col min="13037" max="13037" width="17.85546875" style="1" customWidth="1"/>
    <col min="13038" max="13276" width="9.140625" style="1"/>
    <col min="13277" max="13277" width="18" style="1" customWidth="1"/>
    <col min="13278" max="13278" width="18" style="1" bestFit="1" customWidth="1"/>
    <col min="13279" max="13281" width="18" style="1" customWidth="1"/>
    <col min="13282" max="13282" width="6.28515625" style="1" customWidth="1"/>
    <col min="13283" max="13287" width="18" style="1" customWidth="1"/>
    <col min="13288" max="13288" width="12.7109375" style="1" customWidth="1"/>
    <col min="13289" max="13292" width="18.5703125" style="1" customWidth="1"/>
    <col min="13293" max="13293" width="17.85546875" style="1" customWidth="1"/>
    <col min="13294" max="13532" width="9.140625" style="1"/>
    <col min="13533" max="13533" width="18" style="1" customWidth="1"/>
    <col min="13534" max="13534" width="18" style="1" bestFit="1" customWidth="1"/>
    <col min="13535" max="13537" width="18" style="1" customWidth="1"/>
    <col min="13538" max="13538" width="6.28515625" style="1" customWidth="1"/>
    <col min="13539" max="13543" width="18" style="1" customWidth="1"/>
    <col min="13544" max="13544" width="12.7109375" style="1" customWidth="1"/>
    <col min="13545" max="13548" width="18.5703125" style="1" customWidth="1"/>
    <col min="13549" max="13549" width="17.85546875" style="1" customWidth="1"/>
    <col min="13550" max="13788" width="9.140625" style="1"/>
    <col min="13789" max="13789" width="18" style="1" customWidth="1"/>
    <col min="13790" max="13790" width="18" style="1" bestFit="1" customWidth="1"/>
    <col min="13791" max="13793" width="18" style="1" customWidth="1"/>
    <col min="13794" max="13794" width="6.28515625" style="1" customWidth="1"/>
    <col min="13795" max="13799" width="18" style="1" customWidth="1"/>
    <col min="13800" max="13800" width="12.7109375" style="1" customWidth="1"/>
    <col min="13801" max="13804" width="18.5703125" style="1" customWidth="1"/>
    <col min="13805" max="13805" width="17.85546875" style="1" customWidth="1"/>
    <col min="13806" max="14044" width="9.140625" style="1"/>
    <col min="14045" max="14045" width="18" style="1" customWidth="1"/>
    <col min="14046" max="14046" width="18" style="1" bestFit="1" customWidth="1"/>
    <col min="14047" max="14049" width="18" style="1" customWidth="1"/>
    <col min="14050" max="14050" width="6.28515625" style="1" customWidth="1"/>
    <col min="14051" max="14055" width="18" style="1" customWidth="1"/>
    <col min="14056" max="14056" width="12.7109375" style="1" customWidth="1"/>
    <col min="14057" max="14060" width="18.5703125" style="1" customWidth="1"/>
    <col min="14061" max="14061" width="17.85546875" style="1" customWidth="1"/>
    <col min="14062" max="14300" width="9.140625" style="1"/>
    <col min="14301" max="14301" width="18" style="1" customWidth="1"/>
    <col min="14302" max="14302" width="18" style="1" bestFit="1" customWidth="1"/>
    <col min="14303" max="14305" width="18" style="1" customWidth="1"/>
    <col min="14306" max="14306" width="6.28515625" style="1" customWidth="1"/>
    <col min="14307" max="14311" width="18" style="1" customWidth="1"/>
    <col min="14312" max="14312" width="12.7109375" style="1" customWidth="1"/>
    <col min="14313" max="14316" width="18.5703125" style="1" customWidth="1"/>
    <col min="14317" max="14317" width="17.85546875" style="1" customWidth="1"/>
    <col min="14318" max="14556" width="9.140625" style="1"/>
    <col min="14557" max="14557" width="18" style="1" customWidth="1"/>
    <col min="14558" max="14558" width="18" style="1" bestFit="1" customWidth="1"/>
    <col min="14559" max="14561" width="18" style="1" customWidth="1"/>
    <col min="14562" max="14562" width="6.28515625" style="1" customWidth="1"/>
    <col min="14563" max="14567" width="18" style="1" customWidth="1"/>
    <col min="14568" max="14568" width="12.7109375" style="1" customWidth="1"/>
    <col min="14569" max="14572" width="18.5703125" style="1" customWidth="1"/>
    <col min="14573" max="14573" width="17.85546875" style="1" customWidth="1"/>
    <col min="14574" max="14812" width="9.140625" style="1"/>
    <col min="14813" max="14813" width="18" style="1" customWidth="1"/>
    <col min="14814" max="14814" width="18" style="1" bestFit="1" customWidth="1"/>
    <col min="14815" max="14817" width="18" style="1" customWidth="1"/>
    <col min="14818" max="14818" width="6.28515625" style="1" customWidth="1"/>
    <col min="14819" max="14823" width="18" style="1" customWidth="1"/>
    <col min="14824" max="14824" width="12.7109375" style="1" customWidth="1"/>
    <col min="14825" max="14828" width="18.5703125" style="1" customWidth="1"/>
    <col min="14829" max="14829" width="17.85546875" style="1" customWidth="1"/>
    <col min="14830" max="15068" width="9.140625" style="1"/>
    <col min="15069" max="15069" width="18" style="1" customWidth="1"/>
    <col min="15070" max="15070" width="18" style="1" bestFit="1" customWidth="1"/>
    <col min="15071" max="15073" width="18" style="1" customWidth="1"/>
    <col min="15074" max="15074" width="6.28515625" style="1" customWidth="1"/>
    <col min="15075" max="15079" width="18" style="1" customWidth="1"/>
    <col min="15080" max="15080" width="12.7109375" style="1" customWidth="1"/>
    <col min="15081" max="15084" width="18.5703125" style="1" customWidth="1"/>
    <col min="15085" max="15085" width="17.85546875" style="1" customWidth="1"/>
    <col min="15086" max="15324" width="9.140625" style="1"/>
    <col min="15325" max="15325" width="18" style="1" customWidth="1"/>
    <col min="15326" max="15326" width="18" style="1" bestFit="1" customWidth="1"/>
    <col min="15327" max="15329" width="18" style="1" customWidth="1"/>
    <col min="15330" max="15330" width="6.28515625" style="1" customWidth="1"/>
    <col min="15331" max="15335" width="18" style="1" customWidth="1"/>
    <col min="15336" max="15336" width="12.7109375" style="1" customWidth="1"/>
    <col min="15337" max="15340" width="18.5703125" style="1" customWidth="1"/>
    <col min="15341" max="15341" width="17.85546875" style="1" customWidth="1"/>
    <col min="15342" max="15580" width="9.140625" style="1"/>
    <col min="15581" max="15581" width="18" style="1" customWidth="1"/>
    <col min="15582" max="15582" width="18" style="1" bestFit="1" customWidth="1"/>
    <col min="15583" max="15585" width="18" style="1" customWidth="1"/>
    <col min="15586" max="15586" width="6.28515625" style="1" customWidth="1"/>
    <col min="15587" max="15591" width="18" style="1" customWidth="1"/>
    <col min="15592" max="15592" width="12.7109375" style="1" customWidth="1"/>
    <col min="15593" max="15596" width="18.5703125" style="1" customWidth="1"/>
    <col min="15597" max="15597" width="17.85546875" style="1" customWidth="1"/>
    <col min="15598" max="15836" width="9.140625" style="1"/>
    <col min="15837" max="15837" width="18" style="1" customWidth="1"/>
    <col min="15838" max="15838" width="18" style="1" bestFit="1" customWidth="1"/>
    <col min="15839" max="15841" width="18" style="1" customWidth="1"/>
    <col min="15842" max="15842" width="6.28515625" style="1" customWidth="1"/>
    <col min="15843" max="15847" width="18" style="1" customWidth="1"/>
    <col min="15848" max="15848" width="12.7109375" style="1" customWidth="1"/>
    <col min="15849" max="15852" width="18.5703125" style="1" customWidth="1"/>
    <col min="15853" max="15853" width="17.85546875" style="1" customWidth="1"/>
    <col min="15854" max="16092" width="9.140625" style="1"/>
    <col min="16093" max="16093" width="18" style="1" customWidth="1"/>
    <col min="16094" max="16094" width="18" style="1" bestFit="1" customWidth="1"/>
    <col min="16095" max="16097" width="18" style="1" customWidth="1"/>
    <col min="16098" max="16098" width="6.28515625" style="1" customWidth="1"/>
    <col min="16099" max="16103" width="18" style="1" customWidth="1"/>
    <col min="16104" max="16104" width="12.7109375" style="1" customWidth="1"/>
    <col min="16105" max="16108" width="18.5703125" style="1" customWidth="1"/>
    <col min="16109" max="16109" width="17.85546875" style="1" customWidth="1"/>
    <col min="16110" max="16384" width="9.140625" style="1"/>
  </cols>
  <sheetData>
    <row r="1" spans="1:25" x14ac:dyDescent="0.25">
      <c r="A1" s="1"/>
    </row>
    <row r="2" spans="1:25" ht="18" customHeight="1" x14ac:dyDescent="0.35">
      <c r="A2" s="1"/>
      <c r="B2" s="106" t="s">
        <v>39</v>
      </c>
      <c r="C2" s="106"/>
      <c r="D2" s="106"/>
      <c r="E2" s="106"/>
      <c r="F2" s="106"/>
    </row>
    <row r="3" spans="1:25" ht="16.5" customHeight="1" x14ac:dyDescent="0.3">
      <c r="A3" s="1"/>
      <c r="B3" s="2"/>
      <c r="C3" s="2"/>
      <c r="D3" s="2"/>
      <c r="E3" s="2"/>
      <c r="F3" s="2"/>
    </row>
    <row r="4" spans="1:25" ht="16.5" customHeight="1" x14ac:dyDescent="0.3">
      <c r="A4" s="1"/>
      <c r="B4" s="105" t="s">
        <v>37</v>
      </c>
      <c r="C4" s="105"/>
      <c r="D4" s="105"/>
      <c r="E4" s="105"/>
      <c r="F4" s="105"/>
    </row>
    <row r="5" spans="1:25" ht="14.1" customHeight="1" x14ac:dyDescent="0.25">
      <c r="A5" s="1"/>
      <c r="Y5" s="1" t="s">
        <v>72</v>
      </c>
    </row>
    <row r="6" spans="1:25" ht="14.1" customHeight="1" x14ac:dyDescent="0.25">
      <c r="A6" s="1"/>
      <c r="B6" s="3" t="s">
        <v>73</v>
      </c>
      <c r="C6" s="4">
        <f>'64 Att1Ua'!B8/12</f>
        <v>474403.16666666669</v>
      </c>
    </row>
    <row r="7" spans="1:25" ht="14.1" customHeight="1" x14ac:dyDescent="0.25">
      <c r="A7" s="1"/>
    </row>
    <row r="8" spans="1:25" ht="14.1" customHeight="1" x14ac:dyDescent="0.25">
      <c r="A8" s="1"/>
      <c r="B8" s="5"/>
      <c r="C8" s="6">
        <v>43252</v>
      </c>
      <c r="D8" s="6">
        <v>43617</v>
      </c>
      <c r="E8" s="5" t="s">
        <v>40</v>
      </c>
      <c r="F8" s="5" t="s">
        <v>41</v>
      </c>
    </row>
    <row r="9" spans="1:25" ht="14.1" customHeight="1" x14ac:dyDescent="0.25">
      <c r="A9" s="1"/>
      <c r="B9" s="7" t="s">
        <v>42</v>
      </c>
      <c r="C9" s="7" t="s">
        <v>43</v>
      </c>
      <c r="D9" s="7" t="s">
        <v>43</v>
      </c>
      <c r="E9" s="7" t="s">
        <v>44</v>
      </c>
      <c r="F9" s="7" t="s">
        <v>45</v>
      </c>
    </row>
    <row r="10" spans="1:25" ht="14.1" customHeight="1" x14ac:dyDescent="0.25">
      <c r="A10" s="1"/>
      <c r="B10" s="8">
        <v>250</v>
      </c>
      <c r="C10" s="9">
        <f>ROUND('64 Att1Ua'!$C$8+$B10*'64 Att1Ua'!$C$10,2)</f>
        <v>29.73</v>
      </c>
      <c r="D10" s="9">
        <f>ROUND('64 Att1Ua'!$E$8+$B10*'64 Att1Ua'!$E$10,2)</f>
        <v>30.78</v>
      </c>
      <c r="E10" s="9">
        <f>+D10-C10</f>
        <v>1.0500000000000007</v>
      </c>
      <c r="F10" s="10">
        <f>E10/C10</f>
        <v>3.5317860746720504E-2</v>
      </c>
    </row>
    <row r="11" spans="1:25" ht="14.1" customHeight="1" x14ac:dyDescent="0.25">
      <c r="A11" s="1"/>
      <c r="B11" s="8">
        <v>750</v>
      </c>
      <c r="C11" s="9">
        <f>ROUND('64 Att1Ua'!$C$8+B11*'64 Att1Ua'!$C$10,2)</f>
        <v>72.36</v>
      </c>
      <c r="D11" s="9">
        <f>ROUND('64 Att1Ua'!$E$8+B11*'64 Att1Ua'!$E$10,2)</f>
        <v>74.91</v>
      </c>
      <c r="E11" s="9">
        <f t="shared" ref="E11:E14" si="0">+D11-C11</f>
        <v>2.5499999999999972</v>
      </c>
      <c r="F11" s="10">
        <f t="shared" ref="F11:F14" si="1">E11/C11</f>
        <v>3.5240464344941914E-2</v>
      </c>
    </row>
    <row r="12" spans="1:25" ht="14.1" customHeight="1" x14ac:dyDescent="0.25">
      <c r="A12" s="1"/>
      <c r="B12" s="8">
        <v>1000</v>
      </c>
      <c r="C12" s="9">
        <f>ROUND('64 Att1Ua'!$C$8+B12*'64 Att1Ua'!$C$10,2)</f>
        <v>93.68</v>
      </c>
      <c r="D12" s="9">
        <f>ROUND('64 Att1Ua'!$E$8+B12*'64 Att1Ua'!$E$10,2)</f>
        <v>96.98</v>
      </c>
      <c r="E12" s="9">
        <f t="shared" si="0"/>
        <v>3.2999999999999972</v>
      </c>
      <c r="F12" s="10">
        <f t="shared" si="1"/>
        <v>3.5226302305721574E-2</v>
      </c>
    </row>
    <row r="13" spans="1:25" ht="14.1" customHeight="1" x14ac:dyDescent="0.25">
      <c r="A13" s="1"/>
      <c r="B13" s="8">
        <v>2000</v>
      </c>
      <c r="C13" s="9">
        <f>ROUND('64 Att1Ua'!$C$8+B13*'64 Att1Ua'!$C$10,2)</f>
        <v>178.95</v>
      </c>
      <c r="D13" s="9">
        <f>ROUND('64 Att1Ua'!$E$8+B13*'64 Att1Ua'!$E$10,2)</f>
        <v>185.25</v>
      </c>
      <c r="E13" s="9">
        <f t="shared" si="0"/>
        <v>6.3000000000000114</v>
      </c>
      <c r="F13" s="10">
        <f t="shared" si="1"/>
        <v>3.5205364626990844E-2</v>
      </c>
    </row>
    <row r="14" spans="1:25" ht="14.1" customHeight="1" x14ac:dyDescent="0.25">
      <c r="A14" s="1"/>
      <c r="B14" s="8">
        <v>5000</v>
      </c>
      <c r="C14" s="9">
        <f>ROUND('64 Att1Ua'!$C$8+B14*'64 Att1Ua'!$C$10,2)</f>
        <v>434.76</v>
      </c>
      <c r="D14" s="9">
        <f>ROUND('64 Att1Ua'!$E$8+B14*'64 Att1Ua'!$E$10,2)</f>
        <v>450.06</v>
      </c>
      <c r="E14" s="9">
        <f t="shared" si="0"/>
        <v>15.300000000000011</v>
      </c>
      <c r="F14" s="10">
        <f t="shared" si="1"/>
        <v>3.5191829975158732E-2</v>
      </c>
    </row>
    <row r="15" spans="1:25" ht="14.1" customHeight="1" x14ac:dyDescent="0.25">
      <c r="A15" s="1"/>
      <c r="B15" s="12"/>
      <c r="C15" s="13"/>
      <c r="D15" s="13"/>
      <c r="E15" s="13"/>
      <c r="F15" s="13"/>
    </row>
    <row r="16" spans="1:25" ht="14.1" customHeight="1" x14ac:dyDescent="0.25">
      <c r="A16" s="1"/>
      <c r="B16" s="14"/>
      <c r="C16" s="15"/>
      <c r="D16" s="15"/>
      <c r="E16" s="15"/>
      <c r="F16" s="11"/>
    </row>
    <row r="17" spans="1:6" ht="16.5" customHeight="1" x14ac:dyDescent="0.3">
      <c r="A17" s="1"/>
      <c r="B17" s="105" t="s">
        <v>37</v>
      </c>
      <c r="C17" s="105"/>
      <c r="D17" s="105"/>
      <c r="E17" s="105"/>
      <c r="F17" s="105"/>
    </row>
    <row r="18" spans="1:6" ht="15.75" customHeight="1" x14ac:dyDescent="0.3">
      <c r="A18" s="1"/>
      <c r="B18" s="105" t="s">
        <v>79</v>
      </c>
      <c r="C18" s="105"/>
      <c r="D18" s="105"/>
      <c r="E18" s="105"/>
      <c r="F18" s="105"/>
    </row>
    <row r="19" spans="1:6" ht="14.1" customHeight="1" x14ac:dyDescent="0.25">
      <c r="A19" s="1"/>
      <c r="B19" s="3" t="s">
        <v>73</v>
      </c>
      <c r="C19" s="16">
        <f>'64 Att1Ua'!B15/12</f>
        <v>18547.833333333332</v>
      </c>
    </row>
    <row r="20" spans="1:6" ht="14.1" customHeight="1" x14ac:dyDescent="0.25">
      <c r="A20" s="1"/>
    </row>
    <row r="21" spans="1:6" ht="14.1" customHeight="1" x14ac:dyDescent="0.25">
      <c r="A21" s="1"/>
      <c r="B21" s="5"/>
      <c r="C21" s="6">
        <f>$C$8</f>
        <v>43252</v>
      </c>
      <c r="D21" s="6">
        <f>$D$8</f>
        <v>43617</v>
      </c>
      <c r="E21" s="5" t="s">
        <v>40</v>
      </c>
      <c r="F21" s="5" t="s">
        <v>41</v>
      </c>
    </row>
    <row r="22" spans="1:6" ht="14.1" customHeight="1" x14ac:dyDescent="0.25">
      <c r="A22" s="1"/>
      <c r="B22" s="7" t="s">
        <v>42</v>
      </c>
      <c r="C22" s="7" t="s">
        <v>43</v>
      </c>
      <c r="D22" s="7" t="s">
        <v>43</v>
      </c>
      <c r="E22" s="7" t="s">
        <v>43</v>
      </c>
      <c r="F22" s="7" t="s">
        <v>45</v>
      </c>
    </row>
    <row r="23" spans="1:6" ht="14.1" customHeight="1" x14ac:dyDescent="0.25">
      <c r="A23" s="1"/>
      <c r="B23" s="8">
        <v>250</v>
      </c>
      <c r="C23" s="9">
        <f>ROUND('64 Att1Ua'!$C$15+B23*'64 Att1Ua'!$C$17,2)</f>
        <v>28.57</v>
      </c>
      <c r="D23" s="9">
        <f>ROUND('64 Att1Ua'!$E$15+B23*'64 Att1Ua'!$E$17,2)</f>
        <v>29.57</v>
      </c>
      <c r="E23" s="9">
        <f>+D23-C23</f>
        <v>1</v>
      </c>
      <c r="F23" s="10">
        <f>E23/C23</f>
        <v>3.5001750087504377E-2</v>
      </c>
    </row>
    <row r="24" spans="1:6" ht="14.1" customHeight="1" x14ac:dyDescent="0.25">
      <c r="A24" s="1"/>
      <c r="B24" s="8">
        <v>750</v>
      </c>
      <c r="C24" s="9">
        <f>ROUND('64 Att1Ua'!$C$15+B24*'64 Att1Ua'!$C$17,2)</f>
        <v>69.55</v>
      </c>
      <c r="D24" s="9">
        <f>ROUND('64 Att1Ua'!$E$15+B24*'64 Att1Ua'!$E$17,2)</f>
        <v>71.989999999999995</v>
      </c>
      <c r="E24" s="9">
        <f t="shared" ref="E24:E27" si="2">+D24-C24</f>
        <v>2.4399999999999977</v>
      </c>
      <c r="F24" s="10">
        <f t="shared" ref="F24:F27" si="3">E24/C24</f>
        <v>3.508267433501075E-2</v>
      </c>
    </row>
    <row r="25" spans="1:6" ht="14.1" customHeight="1" x14ac:dyDescent="0.25">
      <c r="A25" s="1"/>
      <c r="B25" s="8">
        <v>1000</v>
      </c>
      <c r="C25" s="9">
        <f>ROUND('64 Att1Ua'!$C$15+B25*'64 Att1Ua'!$C$17,2)</f>
        <v>90.04</v>
      </c>
      <c r="D25" s="9">
        <f>ROUND('64 Att1Ua'!$E$15+B25*'64 Att1Ua'!$E$17,2)</f>
        <v>93.2</v>
      </c>
      <c r="E25" s="9">
        <f t="shared" si="2"/>
        <v>3.1599999999999966</v>
      </c>
      <c r="F25" s="10">
        <f t="shared" si="3"/>
        <v>3.5095513105286497E-2</v>
      </c>
    </row>
    <row r="26" spans="1:6" ht="14.1" customHeight="1" x14ac:dyDescent="0.25">
      <c r="A26" s="1"/>
      <c r="B26" s="8">
        <v>2000</v>
      </c>
      <c r="C26" s="9">
        <f>ROUND('64 Att1Ua'!$C$15+B26*'64 Att1Ua'!$C$17,2)</f>
        <v>172</v>
      </c>
      <c r="D26" s="9">
        <f>ROUND('64 Att1Ua'!$E$15+B26*'64 Att1Ua'!$E$17,2)</f>
        <v>178.04</v>
      </c>
      <c r="E26" s="9">
        <f t="shared" si="2"/>
        <v>6.039999999999992</v>
      </c>
      <c r="F26" s="10">
        <f t="shared" si="3"/>
        <v>3.5116279069767393E-2</v>
      </c>
    </row>
    <row r="27" spans="1:6" ht="14.1" customHeight="1" x14ac:dyDescent="0.25">
      <c r="A27" s="1"/>
      <c r="B27" s="8">
        <v>5000</v>
      </c>
      <c r="C27" s="9">
        <f>ROUND('64 Att1Ua'!$C$15+B27*'64 Att1Ua'!$C$17,2)</f>
        <v>417.88</v>
      </c>
      <c r="D27" s="9">
        <f>ROUND('64 Att1Ua'!$E$15+B27*'64 Att1Ua'!$E$17,2)</f>
        <v>432.56</v>
      </c>
      <c r="E27" s="9">
        <f t="shared" si="2"/>
        <v>14.680000000000007</v>
      </c>
      <c r="F27" s="10">
        <f t="shared" si="3"/>
        <v>3.5129702306882372E-2</v>
      </c>
    </row>
    <row r="28" spans="1:6" ht="14.1" customHeight="1" x14ac:dyDescent="0.25">
      <c r="A28" s="1"/>
      <c r="B28" s="12"/>
      <c r="C28" s="13"/>
      <c r="D28" s="13"/>
      <c r="E28" s="13"/>
      <c r="F28" s="13"/>
    </row>
    <row r="29" spans="1:6" ht="14.1" customHeight="1" x14ac:dyDescent="0.25">
      <c r="A29" s="1"/>
      <c r="B29" s="14"/>
      <c r="C29" s="15"/>
      <c r="D29" s="15"/>
      <c r="E29" s="15"/>
      <c r="F29" s="11"/>
    </row>
    <row r="30" spans="1:6" ht="16.5" customHeight="1" x14ac:dyDescent="0.3">
      <c r="A30" s="1"/>
      <c r="B30" s="105" t="s">
        <v>37</v>
      </c>
      <c r="C30" s="105"/>
      <c r="D30" s="105"/>
      <c r="E30" s="105"/>
      <c r="F30" s="105"/>
    </row>
    <row r="31" spans="1:6" ht="15.75" customHeight="1" x14ac:dyDescent="0.3">
      <c r="A31" s="1"/>
      <c r="B31" s="105" t="s">
        <v>46</v>
      </c>
      <c r="C31" s="105"/>
      <c r="D31" s="105"/>
      <c r="E31" s="105"/>
      <c r="F31" s="105"/>
    </row>
    <row r="32" spans="1:6" ht="14.1" customHeight="1" x14ac:dyDescent="0.25">
      <c r="A32" s="1"/>
      <c r="B32" s="3" t="s">
        <v>73</v>
      </c>
      <c r="C32" s="4">
        <f>'64 Att1Ua'!B28</f>
        <v>19277</v>
      </c>
    </row>
    <row r="33" spans="1:6" ht="14.1" customHeight="1" x14ac:dyDescent="0.25">
      <c r="A33" s="1"/>
    </row>
    <row r="34" spans="1:6" ht="14.1" customHeight="1" x14ac:dyDescent="0.25">
      <c r="A34" s="1"/>
      <c r="B34" s="5"/>
      <c r="C34" s="6">
        <f>$C$8</f>
        <v>43252</v>
      </c>
      <c r="D34" s="6">
        <f>$D$8</f>
        <v>43617</v>
      </c>
      <c r="E34" s="5" t="s">
        <v>40</v>
      </c>
      <c r="F34" s="5" t="s">
        <v>41</v>
      </c>
    </row>
    <row r="35" spans="1:6" ht="14.1" customHeight="1" x14ac:dyDescent="0.25">
      <c r="A35" s="1"/>
      <c r="B35" s="7" t="s">
        <v>42</v>
      </c>
      <c r="C35" s="7" t="s">
        <v>47</v>
      </c>
      <c r="D35" s="7" t="s">
        <v>43</v>
      </c>
      <c r="E35" s="7" t="s">
        <v>48</v>
      </c>
      <c r="F35" s="7" t="s">
        <v>45</v>
      </c>
    </row>
    <row r="36" spans="1:6" ht="14.1" customHeight="1" x14ac:dyDescent="0.25">
      <c r="A36" s="1"/>
      <c r="B36" s="8">
        <v>250</v>
      </c>
      <c r="C36" s="9">
        <f>ROUND('64 Att1Ua'!$C$28+B36*'64 Att1Ua'!$C$29,2)</f>
        <v>122.24</v>
      </c>
      <c r="D36" s="9">
        <f>ROUND('64 Att1Ua'!$E$28+B36*'64 Att1Ua'!$E$29,2)</f>
        <v>126.59</v>
      </c>
      <c r="E36" s="9">
        <f>+D36-C36</f>
        <v>4.3500000000000085</v>
      </c>
      <c r="F36" s="10">
        <f>E36/C36</f>
        <v>3.5585732984293267E-2</v>
      </c>
    </row>
    <row r="37" spans="1:6" ht="14.1" customHeight="1" x14ac:dyDescent="0.25">
      <c r="A37" s="1"/>
      <c r="B37" s="8">
        <v>750</v>
      </c>
      <c r="C37" s="9">
        <f>ROUND('64 Att1Ua'!$C$28+B37*'64 Att1Ua'!$C$29,2)</f>
        <v>164.87</v>
      </c>
      <c r="D37" s="9">
        <f>ROUND('64 Att1Ua'!$E$28+B37*'64 Att1Ua'!$E$29,2)</f>
        <v>170.72</v>
      </c>
      <c r="E37" s="9">
        <f t="shared" ref="E37:E40" si="4">+D37-C37</f>
        <v>5.8499999999999943</v>
      </c>
      <c r="F37" s="10">
        <f t="shared" ref="F37:F40" si="5">E37/C37</f>
        <v>3.5482501364711552E-2</v>
      </c>
    </row>
    <row r="38" spans="1:6" ht="14.1" customHeight="1" x14ac:dyDescent="0.25">
      <c r="A38" s="1"/>
      <c r="B38" s="8">
        <v>1000</v>
      </c>
      <c r="C38" s="9">
        <f>ROUND('64 Att1Ua'!$C$28+B38*'64 Att1Ua'!$C$29,2)</f>
        <v>186.19</v>
      </c>
      <c r="D38" s="9">
        <f>ROUND('64 Att1Ua'!$E$28+B38*'64 Att1Ua'!$E$29,2)</f>
        <v>192.79</v>
      </c>
      <c r="E38" s="9">
        <f t="shared" si="4"/>
        <v>6.5999999999999943</v>
      </c>
      <c r="F38" s="10">
        <f t="shared" si="5"/>
        <v>3.5447660991460309E-2</v>
      </c>
    </row>
    <row r="39" spans="1:6" ht="14.1" customHeight="1" x14ac:dyDescent="0.25">
      <c r="A39" s="1"/>
      <c r="B39" s="8">
        <v>2000</v>
      </c>
      <c r="C39" s="9">
        <f>ROUND('64 Att1Ua'!$C$28+B39*'64 Att1Ua'!$C$29,2)</f>
        <v>271.45999999999998</v>
      </c>
      <c r="D39" s="9">
        <f>ROUND('64 Att1Ua'!$E$28+B39*'64 Att1Ua'!$E$29,2)</f>
        <v>281.06</v>
      </c>
      <c r="E39" s="9">
        <f t="shared" si="4"/>
        <v>9.6000000000000227</v>
      </c>
      <c r="F39" s="10">
        <f t="shared" si="5"/>
        <v>3.5364326235909613E-2</v>
      </c>
    </row>
    <row r="40" spans="1:6" ht="14.1" customHeight="1" x14ac:dyDescent="0.25">
      <c r="A40" s="1"/>
      <c r="B40" s="8">
        <v>5000</v>
      </c>
      <c r="C40" s="9">
        <f>ROUND('64 Att1Ua'!$C$28+B40*'64 Att1Ua'!$C$29,2)</f>
        <v>527.27</v>
      </c>
      <c r="D40" s="9">
        <f>ROUND('64 Att1Ua'!$E$28+B40*'64 Att1Ua'!$E$29,2)</f>
        <v>545.87</v>
      </c>
      <c r="E40" s="9">
        <f t="shared" si="4"/>
        <v>18.600000000000023</v>
      </c>
      <c r="F40" s="10">
        <f t="shared" si="5"/>
        <v>3.5276044531264858E-2</v>
      </c>
    </row>
    <row r="41" spans="1:6" ht="14.1" customHeight="1" x14ac:dyDescent="0.25">
      <c r="A41" s="1"/>
      <c r="B41" s="12"/>
      <c r="C41" s="13"/>
      <c r="D41" s="13"/>
      <c r="E41" s="13"/>
      <c r="F41" s="13"/>
    </row>
    <row r="42" spans="1:6" ht="14.1" customHeight="1" x14ac:dyDescent="0.25">
      <c r="A42" s="1"/>
      <c r="B42" s="14"/>
      <c r="C42" s="15"/>
      <c r="D42" s="15"/>
      <c r="E42" s="15"/>
      <c r="F42" s="15"/>
    </row>
    <row r="43" spans="1:6" ht="18.75" customHeight="1" x14ac:dyDescent="0.3">
      <c r="A43" s="1"/>
      <c r="B43" s="105" t="s">
        <v>37</v>
      </c>
      <c r="C43" s="105"/>
      <c r="D43" s="105"/>
      <c r="E43" s="105"/>
      <c r="F43" s="105"/>
    </row>
    <row r="44" spans="1:6" ht="15.75" customHeight="1" x14ac:dyDescent="0.3">
      <c r="A44" s="1"/>
      <c r="B44" s="105" t="s">
        <v>33</v>
      </c>
      <c r="C44" s="105"/>
      <c r="D44" s="105"/>
      <c r="E44" s="105"/>
      <c r="F44" s="105"/>
    </row>
    <row r="45" spans="1:6" ht="14.1" customHeight="1" x14ac:dyDescent="0.25">
      <c r="A45" s="1"/>
      <c r="B45" s="3" t="s">
        <v>73</v>
      </c>
      <c r="C45" s="17">
        <f>'64 Att1Ua'!B22/12</f>
        <v>591.75</v>
      </c>
    </row>
    <row r="46" spans="1:6" ht="14.1" customHeight="1" x14ac:dyDescent="0.25">
      <c r="A46" s="1"/>
    </row>
    <row r="47" spans="1:6" ht="14.1" customHeight="1" x14ac:dyDescent="0.25">
      <c r="A47" s="1"/>
      <c r="B47" s="5"/>
      <c r="C47" s="6">
        <f>$C$8</f>
        <v>43252</v>
      </c>
      <c r="D47" s="6">
        <f>$D$8</f>
        <v>43617</v>
      </c>
      <c r="E47" s="5" t="s">
        <v>40</v>
      </c>
      <c r="F47" s="5" t="s">
        <v>41</v>
      </c>
    </row>
    <row r="48" spans="1:6" ht="14.1" customHeight="1" x14ac:dyDescent="0.25">
      <c r="A48" s="1"/>
      <c r="B48" s="7" t="s">
        <v>42</v>
      </c>
      <c r="C48" s="7" t="s">
        <v>43</v>
      </c>
      <c r="D48" s="7" t="s">
        <v>43</v>
      </c>
      <c r="E48" s="7" t="s">
        <v>44</v>
      </c>
      <c r="F48" s="7" t="s">
        <v>45</v>
      </c>
    </row>
    <row r="49" spans="1:7" ht="14.1" customHeight="1" x14ac:dyDescent="0.25">
      <c r="A49" s="1"/>
      <c r="B49" s="8">
        <v>250</v>
      </c>
      <c r="C49" s="9">
        <f>ROUND('64 Att1Ua'!$C$22+B49*'64 Att1Ua'!$C$23,2)</f>
        <v>28.57</v>
      </c>
      <c r="D49" s="9">
        <f>ROUND('64 Att1Ua'!$E$22+B49*'64 Att1Ua'!$E$23,2)</f>
        <v>29.57</v>
      </c>
      <c r="E49" s="9">
        <f>+D49-C49</f>
        <v>1</v>
      </c>
      <c r="F49" s="10">
        <f>E49/C49</f>
        <v>3.5001750087504377E-2</v>
      </c>
    </row>
    <row r="50" spans="1:7" ht="14.1" customHeight="1" x14ac:dyDescent="0.25">
      <c r="A50" s="1"/>
      <c r="B50" s="8">
        <v>750</v>
      </c>
      <c r="C50" s="9">
        <f>ROUND('64 Att1Ua'!$C$22+B50*'64 Att1Ua'!$C$23,2)</f>
        <v>69.55</v>
      </c>
      <c r="D50" s="9">
        <f>ROUND('64 Att1Ua'!$E$22+B50*'64 Att1Ua'!$E$23,2)</f>
        <v>71.989999999999995</v>
      </c>
      <c r="E50" s="9">
        <f t="shared" ref="E50:E53" si="6">+D50-C50</f>
        <v>2.4399999999999977</v>
      </c>
      <c r="F50" s="10">
        <f t="shared" ref="F50:F53" si="7">E50/C50</f>
        <v>3.508267433501075E-2</v>
      </c>
    </row>
    <row r="51" spans="1:7" ht="14.1" customHeight="1" x14ac:dyDescent="0.25">
      <c r="A51" s="1"/>
      <c r="B51" s="8">
        <v>1000</v>
      </c>
      <c r="C51" s="9">
        <f>ROUND('64 Att1Ua'!$C$22+B51*'64 Att1Ua'!$C$23,2)</f>
        <v>90.04</v>
      </c>
      <c r="D51" s="9">
        <f>ROUND('64 Att1Ua'!$E$22+B51*'64 Att1Ua'!$E$23,2)</f>
        <v>93.2</v>
      </c>
      <c r="E51" s="9">
        <f t="shared" si="6"/>
        <v>3.1599999999999966</v>
      </c>
      <c r="F51" s="10">
        <f t="shared" si="7"/>
        <v>3.5095513105286497E-2</v>
      </c>
    </row>
    <row r="52" spans="1:7" ht="14.1" customHeight="1" x14ac:dyDescent="0.25">
      <c r="A52" s="1"/>
      <c r="B52" s="8">
        <v>2000</v>
      </c>
      <c r="C52" s="9">
        <f>ROUND('64 Att1Ua'!$C$22+B52*'64 Att1Ua'!$C$23,2)</f>
        <v>172</v>
      </c>
      <c r="D52" s="9">
        <f>ROUND('64 Att1Ua'!$E$22+B52*'64 Att1Ua'!$E$23,2)</f>
        <v>178.04</v>
      </c>
      <c r="E52" s="9">
        <f t="shared" si="6"/>
        <v>6.039999999999992</v>
      </c>
      <c r="F52" s="10">
        <f t="shared" si="7"/>
        <v>3.5116279069767393E-2</v>
      </c>
    </row>
    <row r="53" spans="1:7" ht="14.1" customHeight="1" x14ac:dyDescent="0.25">
      <c r="A53" s="1"/>
      <c r="B53" s="8">
        <v>5000</v>
      </c>
      <c r="C53" s="9">
        <f>ROUND('64 Att1Ua'!$C$22+B53*'64 Att1Ua'!$C$23,2)</f>
        <v>417.88</v>
      </c>
      <c r="D53" s="9">
        <f>ROUND('64 Att1Ua'!$E$22+B53*'64 Att1Ua'!$E$23,2)</f>
        <v>432.56</v>
      </c>
      <c r="E53" s="9">
        <f t="shared" si="6"/>
        <v>14.680000000000007</v>
      </c>
      <c r="F53" s="10">
        <f t="shared" si="7"/>
        <v>3.5129702306882372E-2</v>
      </c>
    </row>
    <row r="54" spans="1:7" ht="14.1" customHeight="1" x14ac:dyDescent="0.25">
      <c r="A54" s="1"/>
    </row>
    <row r="55" spans="1:7" ht="18" customHeight="1" x14ac:dyDescent="0.35">
      <c r="A55" s="1"/>
      <c r="B55" s="106" t="s">
        <v>39</v>
      </c>
      <c r="C55" s="106"/>
      <c r="D55" s="106"/>
      <c r="E55" s="106"/>
      <c r="F55" s="106"/>
    </row>
    <row r="56" spans="1:7" ht="16.5" customHeight="1" x14ac:dyDescent="0.25">
      <c r="A56" s="1"/>
    </row>
    <row r="57" spans="1:7" ht="21" customHeight="1" x14ac:dyDescent="0.3">
      <c r="A57" s="1"/>
      <c r="B57" s="105" t="s">
        <v>49</v>
      </c>
      <c r="C57" s="105"/>
      <c r="D57" s="105"/>
      <c r="E57" s="105"/>
      <c r="F57" s="105"/>
    </row>
    <row r="58" spans="1:7" ht="16.5" customHeight="1" x14ac:dyDescent="0.3">
      <c r="A58" s="1"/>
      <c r="B58" s="105" t="s">
        <v>50</v>
      </c>
      <c r="C58" s="105"/>
      <c r="D58" s="105"/>
      <c r="E58" s="105"/>
      <c r="F58" s="105"/>
    </row>
    <row r="59" spans="1:7" ht="14.1" customHeight="1" x14ac:dyDescent="0.25">
      <c r="A59" s="1"/>
      <c r="B59" s="3" t="s">
        <v>73</v>
      </c>
      <c r="C59" s="16">
        <f>('64 Att1Ua'!B46+'64 Att1Ua'!B47)/12</f>
        <v>52951</v>
      </c>
    </row>
    <row r="60" spans="1:7" ht="14.1" customHeight="1" x14ac:dyDescent="0.25">
      <c r="A60" s="1"/>
    </row>
    <row r="61" spans="1:7" ht="14.1" customHeight="1" x14ac:dyDescent="0.25">
      <c r="B61" s="5"/>
      <c r="C61" s="6">
        <f>$C$8</f>
        <v>43252</v>
      </c>
      <c r="D61" s="6">
        <f>$D$8</f>
        <v>43617</v>
      </c>
      <c r="E61" s="5" t="s">
        <v>40</v>
      </c>
      <c r="F61" s="5" t="s">
        <v>41</v>
      </c>
    </row>
    <row r="62" spans="1:7" ht="14.1" customHeight="1" x14ac:dyDescent="0.25">
      <c r="B62" s="7" t="s">
        <v>42</v>
      </c>
      <c r="C62" s="7" t="s">
        <v>43</v>
      </c>
      <c r="D62" s="7" t="s">
        <v>43</v>
      </c>
      <c r="E62" s="7" t="s">
        <v>44</v>
      </c>
      <c r="F62" s="7" t="s">
        <v>45</v>
      </c>
    </row>
    <row r="63" spans="1:7" ht="14.1" customHeight="1" x14ac:dyDescent="0.25">
      <c r="B63" s="8">
        <v>750</v>
      </c>
      <c r="C63" s="9">
        <f>+'64 Att1Ua'!C46+B63*'64 Att1Ua'!C49</f>
        <v>87.789999999999992</v>
      </c>
      <c r="D63" s="9">
        <f>+'64 Att1Ua'!E46+B63*'64 Att1Ua'!E49</f>
        <v>90.877500000000012</v>
      </c>
      <c r="E63" s="9">
        <f>+D63-C63</f>
        <v>3.0875000000000199</v>
      </c>
      <c r="F63" s="10">
        <f>E63/C63</f>
        <v>3.5169153662148539E-2</v>
      </c>
      <c r="G63" s="11"/>
    </row>
    <row r="64" spans="1:7" ht="14.1" customHeight="1" x14ac:dyDescent="0.25">
      <c r="B64" s="8">
        <v>2000</v>
      </c>
      <c r="C64" s="9">
        <f>+'64 Att1Ua'!C46+B64*'64 Att1Ua'!C49</f>
        <v>198.98999999999998</v>
      </c>
      <c r="D64" s="9">
        <f>+'64 Att1Ua'!E46+B64*'64 Att1Ua'!E49</f>
        <v>205.99</v>
      </c>
      <c r="E64" s="9">
        <f t="shared" ref="E64:E67" si="8">+D64-C64</f>
        <v>7.0000000000000284</v>
      </c>
      <c r="F64" s="10">
        <f t="shared" ref="F64:F67" si="9">E64/C64</f>
        <v>3.5177647117945771E-2</v>
      </c>
      <c r="G64" s="11"/>
    </row>
    <row r="65" spans="1:7" ht="14.1" customHeight="1" x14ac:dyDescent="0.25">
      <c r="B65" s="8">
        <v>5000</v>
      </c>
      <c r="C65" s="9">
        <f>+'64 Att1Ua'!C46+B65*'64 Att1Ua'!C49</f>
        <v>465.87</v>
      </c>
      <c r="D65" s="9">
        <f>+'64 Att1Ua'!E46+B65*'64 Att1Ua'!E49</f>
        <v>482.26000000000005</v>
      </c>
      <c r="E65" s="9">
        <f t="shared" si="8"/>
        <v>16.390000000000043</v>
      </c>
      <c r="F65" s="10">
        <f t="shared" si="9"/>
        <v>3.5181488398051054E-2</v>
      </c>
      <c r="G65" s="11"/>
    </row>
    <row r="66" spans="1:7" ht="14.1" customHeight="1" x14ac:dyDescent="0.25">
      <c r="B66" s="8">
        <v>10000</v>
      </c>
      <c r="C66" s="9">
        <f>+'64 Att1Ua'!C46+B66*'64 Att1Ua'!C49</f>
        <v>910.67000000000007</v>
      </c>
      <c r="D66" s="9">
        <f>+'64 Att1Ua'!E46+B66*'64 Att1Ua'!E49</f>
        <v>942.71</v>
      </c>
      <c r="E66" s="9">
        <f t="shared" si="8"/>
        <v>32.039999999999964</v>
      </c>
      <c r="F66" s="10">
        <f t="shared" si="9"/>
        <v>3.5182887324716923E-2</v>
      </c>
      <c r="G66" s="11"/>
    </row>
    <row r="67" spans="1:7" ht="14.1" customHeight="1" x14ac:dyDescent="0.25">
      <c r="B67" s="8">
        <v>36500</v>
      </c>
      <c r="C67" s="9">
        <f>ROUND((B67-11000)*'64 Att1Ua'!C50+11000*'64 Att1Ua'!C49+'64 Att1Ua'!C46+'64 Att1Ua'!C47,2)</f>
        <v>2619.86</v>
      </c>
      <c r="D67" s="9">
        <f>ROUND((B67-11000)*'64 Att1Ua'!E50+11000*'64 Att1Ua'!E49+'64 Att1Ua'!E46+'64 Att1Ua'!E47,2)</f>
        <v>2711.94</v>
      </c>
      <c r="E67" s="9">
        <f t="shared" si="8"/>
        <v>92.079999999999927</v>
      </c>
      <c r="F67" s="10">
        <f t="shared" si="9"/>
        <v>3.514691624743304E-2</v>
      </c>
      <c r="G67" s="11"/>
    </row>
    <row r="68" spans="1:7" ht="14.1" customHeight="1" x14ac:dyDescent="0.25"/>
    <row r="69" spans="1:7" ht="21" customHeight="1" x14ac:dyDescent="0.3">
      <c r="B69" s="105" t="s">
        <v>49</v>
      </c>
      <c r="C69" s="105"/>
      <c r="D69" s="105"/>
      <c r="E69" s="105"/>
      <c r="F69" s="105"/>
    </row>
    <row r="70" spans="1:7" ht="17.25" customHeight="1" x14ac:dyDescent="0.3">
      <c r="B70" s="105" t="s">
        <v>51</v>
      </c>
      <c r="C70" s="105"/>
      <c r="D70" s="105"/>
      <c r="E70" s="105"/>
      <c r="F70" s="105"/>
    </row>
    <row r="71" spans="1:7" ht="14.1" customHeight="1" x14ac:dyDescent="0.25"/>
    <row r="72" spans="1:7" ht="14.1" customHeight="1" x14ac:dyDescent="0.25">
      <c r="B72" s="3" t="s">
        <v>73</v>
      </c>
      <c r="C72" s="16">
        <f>('64 Att1Ua'!B56+'64 Att1Ua'!B57)/12</f>
        <v>13714.083333333334</v>
      </c>
    </row>
    <row r="73" spans="1:7" ht="14.1" customHeight="1" x14ac:dyDescent="0.25"/>
    <row r="74" spans="1:7" ht="14.1" customHeight="1" x14ac:dyDescent="0.25">
      <c r="B74" s="5" t="s">
        <v>52</v>
      </c>
      <c r="C74" s="6">
        <f>$C$8</f>
        <v>43252</v>
      </c>
      <c r="D74" s="6">
        <f>$D$8</f>
        <v>43617</v>
      </c>
      <c r="E74" s="5" t="s">
        <v>40</v>
      </c>
      <c r="F74" s="5" t="s">
        <v>41</v>
      </c>
    </row>
    <row r="75" spans="1:7" ht="14.1" customHeight="1" x14ac:dyDescent="0.25">
      <c r="B75" s="7" t="s">
        <v>53</v>
      </c>
      <c r="C75" s="7" t="s">
        <v>43</v>
      </c>
      <c r="D75" s="7" t="s">
        <v>43</v>
      </c>
      <c r="E75" s="7" t="s">
        <v>44</v>
      </c>
      <c r="F75" s="7" t="s">
        <v>45</v>
      </c>
    </row>
    <row r="76" spans="1:7" ht="14.1" customHeight="1" x14ac:dyDescent="0.25">
      <c r="A76" s="16">
        <f>ROUND(51*730*B76,0)</f>
        <v>9308</v>
      </c>
      <c r="B76" s="18">
        <v>0.25</v>
      </c>
      <c r="C76" s="19">
        <f>ROUND('64 Att1Ua'!C56+'64 Att1Ua'!C57+1*'64 Att1Ua'!C64+IF(A76&lt;11000,+A76*'64 Att1Ua'!C59,IF(A76&gt;(11000+8500),11000*'64 Att1Ua'!C59+8500*'64 Att1Ua'!C60+(A76-11000-8500)*'64 Att1Ua'!C61,11000*'64 Att1Ua'!C59+(A76-11000)*'64 Att1Ua'!C60)),2)</f>
        <v>868.26</v>
      </c>
      <c r="D76" s="19">
        <f>ROUND('64 Att1Ua'!E56+'64 Att1Ua'!E57+1*'64 Att1Ua'!E64+IF(A76&lt;11000,+A76*'64 Att1Ua'!E59,IF(A76&gt;(11000+8500),11000*'64 Att1Ua'!E59+8500*'64 Att1Ua'!E60+(A76-11000-8500)*'64 Att1Ua'!E61,11000*'64 Att1Ua'!E59+(A76-11000)*'64 Att1Ua'!E60)),2)</f>
        <v>898.8</v>
      </c>
      <c r="E76" s="9">
        <f t="shared" ref="E76:E79" si="10">+D76-C76</f>
        <v>30.539999999999964</v>
      </c>
      <c r="F76" s="10">
        <f t="shared" ref="F76:F79" si="11">E76/C76</f>
        <v>3.5173795867597224E-2</v>
      </c>
      <c r="G76" s="11"/>
    </row>
    <row r="77" spans="1:7" ht="14.1" customHeight="1" x14ac:dyDescent="0.25">
      <c r="A77" s="16">
        <f t="shared" ref="A77:A79" si="12">ROUND(51*730*B77,0)</f>
        <v>18615</v>
      </c>
      <c r="B77" s="18">
        <v>0.5</v>
      </c>
      <c r="C77" s="19">
        <f>ROUND('64 Att1Ua'!C56+'64 Att1Ua'!C57+1*'64 Att1Ua'!C64+IF(A77&lt;11000,+A77*'64 Att1Ua'!C59,IF(A77&gt;(11000+8500),11000*'64 Att1Ua'!C59+8500*'64 Att1Ua'!C60+(A77-11000-8500)*'64 Att1Ua'!C61,11000*'64 Att1Ua'!C59+(A77-11000)*'64 Att1Ua'!C60)),2)</f>
        <v>1500.05</v>
      </c>
      <c r="D77" s="19">
        <f>ROUND('64 Att1Ua'!E56+'64 Att1Ua'!E57+1*'64 Att1Ua'!E64+IF(A77&lt;11000,+A77*'64 Att1Ua'!E59,IF(A77&gt;(11000+8500),11000*'64 Att1Ua'!E59+8500*'64 Att1Ua'!E60+(A77-11000-8500)*'64 Att1Ua'!E61,11000*'64 Att1Ua'!E59+(A77-11000)*'64 Att1Ua'!E60)),2)</f>
        <v>1552.79</v>
      </c>
      <c r="E77" s="9">
        <f t="shared" si="10"/>
        <v>52.740000000000009</v>
      </c>
      <c r="F77" s="10">
        <f t="shared" si="11"/>
        <v>3.5158828039065372E-2</v>
      </c>
      <c r="G77" s="11"/>
    </row>
    <row r="78" spans="1:7" ht="14.1" customHeight="1" x14ac:dyDescent="0.25">
      <c r="A78" s="16">
        <f t="shared" si="12"/>
        <v>27923</v>
      </c>
      <c r="B78" s="18">
        <v>0.75</v>
      </c>
      <c r="C78" s="19">
        <f>ROUND('64 Att1Ua'!C56+'64 Att1Ua'!C57+1*'64 Att1Ua'!C64+IF(A78&lt;11000,+A78*'64 Att1Ua'!C59,IF(A78&gt;(11000+8500),11000*'64 Att1Ua'!C59+8500*'64 Att1Ua'!C60+(A78-11000-8500)*'64 Att1Ua'!C61,11000*'64 Att1Ua'!C59+(A78-11000)*'64 Att1Ua'!C60)),2)</f>
        <v>1902</v>
      </c>
      <c r="D78" s="19">
        <f>ROUND('64 Att1Ua'!E56+'64 Att1Ua'!E57+1*'64 Att1Ua'!E64+IF(A78&lt;11000,+A78*'64 Att1Ua'!E59,IF(A78&gt;(11000+8500),11000*'64 Att1Ua'!E59+8500*'64 Att1Ua'!E60+(A78-11000-8500)*'64 Att1Ua'!E61,11000*'64 Att1Ua'!E59+(A78-11000)*'64 Att1Ua'!E60)),2)</f>
        <v>1968.92</v>
      </c>
      <c r="E78" s="9">
        <f t="shared" si="10"/>
        <v>66.920000000000073</v>
      </c>
      <c r="F78" s="10">
        <f t="shared" si="11"/>
        <v>3.5184016824395412E-2</v>
      </c>
      <c r="G78" s="11"/>
    </row>
    <row r="79" spans="1:7" ht="14.1" customHeight="1" x14ac:dyDescent="0.25">
      <c r="A79" s="16">
        <f t="shared" si="12"/>
        <v>37230</v>
      </c>
      <c r="B79" s="18">
        <v>1</v>
      </c>
      <c r="C79" s="19">
        <f>ROUND('64 Att1Ua'!C56+'64 Att1Ua'!C57+1*'64 Att1Ua'!C64+IF(A79&lt;11000,+A79*'64 Att1Ua'!C59,IF(A79&gt;(11000+8500),11000*'64 Att1Ua'!C59+8500*'64 Att1Ua'!C60+(A79-11000-8500)*'64 Att1Ua'!C61,11000*'64 Att1Ua'!C59+(A79-11000)*'64 Att1Ua'!C60)),2)</f>
        <v>2284.33</v>
      </c>
      <c r="D79" s="19">
        <f>ROUND('64 Att1Ua'!E56+'64 Att1Ua'!E57+1*'64 Att1Ua'!E64+IF(A79&lt;11000,+A79*'64 Att1Ua'!E59,IF(A79&gt;(11000+8500),11000*'64 Att1Ua'!E59+8500*'64 Att1Ua'!E60+(A79-11000-8500)*'64 Att1Ua'!E61,11000*'64 Att1Ua'!E59+(A79-11000)*'64 Att1Ua'!E60)),2)</f>
        <v>2364.75</v>
      </c>
      <c r="E79" s="9">
        <f t="shared" si="10"/>
        <v>80.420000000000073</v>
      </c>
      <c r="F79" s="10">
        <f t="shared" si="11"/>
        <v>3.5205071071167507E-2</v>
      </c>
      <c r="G79" s="11"/>
    </row>
    <row r="80" spans="1:7" ht="14.1" customHeight="1" x14ac:dyDescent="0.25"/>
    <row r="81" spans="1:7" ht="14.1" customHeight="1" x14ac:dyDescent="0.25">
      <c r="C81" s="11"/>
      <c r="D81" s="11"/>
      <c r="E81" s="11"/>
    </row>
    <row r="82" spans="1:7" ht="21" customHeight="1" x14ac:dyDescent="0.3">
      <c r="B82" s="105" t="s">
        <v>49</v>
      </c>
      <c r="C82" s="105"/>
      <c r="D82" s="105"/>
      <c r="E82" s="105"/>
      <c r="F82" s="105"/>
      <c r="G82" s="20"/>
    </row>
    <row r="83" spans="1:7" ht="18.75" customHeight="1" x14ac:dyDescent="0.3">
      <c r="B83" s="105" t="s">
        <v>54</v>
      </c>
      <c r="C83" s="105"/>
      <c r="D83" s="105"/>
      <c r="E83" s="105"/>
      <c r="F83" s="105"/>
    </row>
    <row r="84" spans="1:7" ht="14.1" customHeight="1" x14ac:dyDescent="0.25"/>
    <row r="85" spans="1:7" ht="14.1" customHeight="1" x14ac:dyDescent="0.25">
      <c r="B85" s="3" t="s">
        <v>73</v>
      </c>
      <c r="C85" s="20">
        <f>C72</f>
        <v>13714.083333333334</v>
      </c>
    </row>
    <row r="86" spans="1:7" ht="14.1" customHeight="1" x14ac:dyDescent="0.25"/>
    <row r="87" spans="1:7" ht="14.1" customHeight="1" x14ac:dyDescent="0.25">
      <c r="B87" s="5" t="s">
        <v>52</v>
      </c>
      <c r="C87" s="6">
        <f>$C$8</f>
        <v>43252</v>
      </c>
      <c r="D87" s="6">
        <f>$D$8</f>
        <v>43617</v>
      </c>
      <c r="E87" s="5" t="s">
        <v>40</v>
      </c>
      <c r="F87" s="5" t="s">
        <v>41</v>
      </c>
    </row>
    <row r="88" spans="1:7" ht="14.1" customHeight="1" x14ac:dyDescent="0.25">
      <c r="B88" s="7" t="s">
        <v>53</v>
      </c>
      <c r="C88" s="7" t="s">
        <v>43</v>
      </c>
      <c r="D88" s="7" t="s">
        <v>43</v>
      </c>
      <c r="E88" s="7" t="s">
        <v>44</v>
      </c>
      <c r="F88" s="7" t="s">
        <v>45</v>
      </c>
    </row>
    <row r="89" spans="1:7" ht="14.1" customHeight="1" x14ac:dyDescent="0.25">
      <c r="A89" s="16">
        <f>ROUND(100*730*B89,0)</f>
        <v>18250</v>
      </c>
      <c r="B89" s="18">
        <v>0.25</v>
      </c>
      <c r="C89" s="19">
        <f>ROUND('64 Att1Ua'!$C$56+'64 Att1Ua'!$C$57+50*'64 Att1Ua'!$C$64+IF(A89&lt;11000,+A89*'64 Att1Ua'!$C$59,IF(A89&gt;(11000+8500),11000*'64 Att1Ua'!$C$59+8500*'64 Att1Ua'!$C$60+(A89-11000-8500)*'64 Att1Ua'!$C$61,11000*'64 Att1Ua'!$C$59+(A89-11000)*'64 Att1Ua'!$C$60)),2)</f>
        <v>1992.46</v>
      </c>
      <c r="D89" s="19">
        <f>ROUND('64 Att1Ua'!$E$56+'64 Att1Ua'!$E$57+50*'64 Att1Ua'!$E$64+IF(A89&lt;11000,+A89*'64 Att1Ua'!$E$59,IF(A89&gt;(11000+8500),11000*'64 Att1Ua'!$E$59+8500*'64 Att1Ua'!$E$60+(A89-11000-8500)*'64 Att1Ua'!$E$61,11000*'64 Att1Ua'!$E$59+(A89-11000)*'64 Att1Ua'!$E$60)),2)</f>
        <v>2062.5300000000002</v>
      </c>
      <c r="E89" s="9">
        <f t="shared" ref="E89:E92" si="13">+D89-C89</f>
        <v>70.070000000000164</v>
      </c>
      <c r="F89" s="10">
        <f t="shared" ref="F89:F92" si="14">E89/C89</f>
        <v>3.5167581783323208E-2</v>
      </c>
      <c r="G89" s="11"/>
    </row>
    <row r="90" spans="1:7" ht="14.1" customHeight="1" x14ac:dyDescent="0.25">
      <c r="A90" s="16">
        <f t="shared" ref="A90:A92" si="15">ROUND(100*730*B90,0)</f>
        <v>36500</v>
      </c>
      <c r="B90" s="18">
        <v>0.5</v>
      </c>
      <c r="C90" s="19">
        <f>ROUND('64 Att1Ua'!$C$56+'64 Att1Ua'!$C$57+50*'64 Att1Ua'!$C$64+IF(A90&lt;11000,+A90*'64 Att1Ua'!$C$59,IF(A90&gt;(11000+8500),11000*'64 Att1Ua'!$C$59+8500*'64 Att1Ua'!$C$60+(A90-11000-8500)*'64 Att1Ua'!$C$61,11000*'64 Att1Ua'!$C$59+(A90-11000)*'64 Att1Ua'!$C$60)),2)</f>
        <v>2769.82</v>
      </c>
      <c r="D90" s="19">
        <f>ROUND('64 Att1Ua'!$E$56+'64 Att1Ua'!$E$57+50*'64 Att1Ua'!$E$64+IF(A90&lt;11000,+A90*'64 Att1Ua'!$E$59,IF(A90&gt;(11000+8500),11000*'64 Att1Ua'!$E$59+8500*'64 Att1Ua'!$E$60+(A90-11000-8500)*'64 Att1Ua'!$E$61,11000*'64 Att1Ua'!$E$59+(A90-11000)*'64 Att1Ua'!$E$60)),2)</f>
        <v>2867.31</v>
      </c>
      <c r="E90" s="9">
        <f t="shared" si="13"/>
        <v>97.489999999999782</v>
      </c>
      <c r="F90" s="10">
        <f t="shared" si="14"/>
        <v>3.5197233033193415E-2</v>
      </c>
      <c r="G90" s="11"/>
    </row>
    <row r="91" spans="1:7" ht="14.1" customHeight="1" x14ac:dyDescent="0.25">
      <c r="A91" s="16">
        <f t="shared" si="15"/>
        <v>54750</v>
      </c>
      <c r="B91" s="18">
        <v>0.75</v>
      </c>
      <c r="C91" s="19">
        <f>ROUND('64 Att1Ua'!$C$56+'64 Att1Ua'!$C$57+50*'64 Att1Ua'!$C$64+IF(A91&lt;11000,+A91*'64 Att1Ua'!$C$59,IF(A91&gt;(11000+8500),11000*'64 Att1Ua'!$C$59+8500*'64 Att1Ua'!$C$60+(A91-11000-8500)*'64 Att1Ua'!$C$61,11000*'64 Att1Ua'!$C$59+(A91-11000)*'64 Att1Ua'!$C$60)),2)</f>
        <v>3519.53</v>
      </c>
      <c r="D91" s="19">
        <f>ROUND('64 Att1Ua'!$E$56+'64 Att1Ua'!$E$57+50*'64 Att1Ua'!$E$64+IF(A91&lt;11000,+A91*'64 Att1Ua'!$E$59,IF(A91&gt;(11000+8500),11000*'64 Att1Ua'!$E$59+8500*'64 Att1Ua'!$E$60+(A91-11000-8500)*'64 Att1Ua'!$E$61,11000*'64 Att1Ua'!$E$59+(A91-11000)*'64 Att1Ua'!$E$60)),2)</f>
        <v>3643.48</v>
      </c>
      <c r="E91" s="9">
        <f t="shared" si="13"/>
        <v>123.94999999999982</v>
      </c>
      <c r="F91" s="10">
        <f t="shared" si="14"/>
        <v>3.5217770554591042E-2</v>
      </c>
      <c r="G91" s="11"/>
    </row>
    <row r="92" spans="1:7" ht="14.1" customHeight="1" x14ac:dyDescent="0.25">
      <c r="A92" s="16">
        <f t="shared" si="15"/>
        <v>73000</v>
      </c>
      <c r="B92" s="18">
        <v>1</v>
      </c>
      <c r="C92" s="19">
        <f>ROUND('64 Att1Ua'!$C$56+'64 Att1Ua'!$C$57+50*'64 Att1Ua'!$C$64+IF(A92&lt;11000,+A92*'64 Att1Ua'!$C$59,IF(A92&gt;(11000+8500),11000*'64 Att1Ua'!$C$59+8500*'64 Att1Ua'!$C$60+(A92-11000-8500)*'64 Att1Ua'!$C$61,11000*'64 Att1Ua'!$C$59+(A92-11000)*'64 Att1Ua'!$C$60)),2)</f>
        <v>4269.24</v>
      </c>
      <c r="D92" s="19">
        <f>ROUND('64 Att1Ua'!$E$56+'64 Att1Ua'!$E$57+50*'64 Att1Ua'!$E$64+IF(A92&lt;11000,+A92*'64 Att1Ua'!$E$59,IF(A92&gt;(11000+8500),11000*'64 Att1Ua'!$E$59+8500*'64 Att1Ua'!$E$60+(A92-11000-8500)*'64 Att1Ua'!$E$61,11000*'64 Att1Ua'!$E$59+(A92-11000)*'64 Att1Ua'!$E$60)),2)</f>
        <v>4419.66</v>
      </c>
      <c r="E92" s="9">
        <f t="shared" si="13"/>
        <v>150.42000000000007</v>
      </c>
      <c r="F92" s="10">
        <f t="shared" si="14"/>
        <v>3.5233437333108485E-2</v>
      </c>
      <c r="G92" s="11"/>
    </row>
    <row r="93" spans="1:7" ht="14.1" customHeight="1" x14ac:dyDescent="0.25">
      <c r="A93" s="1"/>
    </row>
    <row r="94" spans="1:7" ht="14.1" customHeight="1" x14ac:dyDescent="0.25">
      <c r="A94" s="1"/>
    </row>
    <row r="95" spans="1:7" ht="18" customHeight="1" x14ac:dyDescent="0.35">
      <c r="A95" s="1"/>
      <c r="B95" s="106" t="s">
        <v>39</v>
      </c>
      <c r="C95" s="106"/>
      <c r="D95" s="106"/>
      <c r="E95" s="106"/>
      <c r="F95" s="106"/>
    </row>
    <row r="96" spans="1:7" ht="18" customHeight="1" x14ac:dyDescent="0.35">
      <c r="A96" s="1"/>
      <c r="B96" s="21"/>
      <c r="C96" s="21"/>
      <c r="D96" s="21"/>
      <c r="E96" s="21"/>
      <c r="F96" s="21"/>
    </row>
    <row r="97" spans="1:6" ht="16.5" customHeight="1" x14ac:dyDescent="0.3">
      <c r="A97" s="1"/>
      <c r="B97" s="105" t="s">
        <v>55</v>
      </c>
      <c r="C97" s="105"/>
      <c r="D97" s="105"/>
      <c r="E97" s="105"/>
      <c r="F97" s="105"/>
    </row>
    <row r="98" spans="1:6" ht="18.75" customHeight="1" x14ac:dyDescent="0.3">
      <c r="A98" s="1"/>
      <c r="B98" s="105" t="s">
        <v>28</v>
      </c>
      <c r="C98" s="105"/>
      <c r="D98" s="105"/>
      <c r="E98" s="105"/>
      <c r="F98" s="105"/>
    </row>
    <row r="99" spans="1:6" ht="14.1" customHeight="1" x14ac:dyDescent="0.25">
      <c r="A99" s="1"/>
    </row>
    <row r="100" spans="1:6" ht="14.1" customHeight="1" x14ac:dyDescent="0.25">
      <c r="A100" s="1"/>
      <c r="B100" s="22" t="s">
        <v>27</v>
      </c>
      <c r="C100" s="4">
        <f>'64 Att1Ua'!B77</f>
        <v>969</v>
      </c>
    </row>
    <row r="101" spans="1:6" ht="14.1" customHeight="1" x14ac:dyDescent="0.25">
      <c r="A101" s="1"/>
    </row>
    <row r="102" spans="1:6" ht="14.1" customHeight="1" x14ac:dyDescent="0.25">
      <c r="A102" s="1"/>
      <c r="B102" s="5"/>
      <c r="C102" s="6">
        <f>$C$8</f>
        <v>43252</v>
      </c>
      <c r="D102" s="6">
        <f>$D$8</f>
        <v>43617</v>
      </c>
      <c r="E102" s="5" t="s">
        <v>40</v>
      </c>
      <c r="F102" s="5" t="s">
        <v>41</v>
      </c>
    </row>
    <row r="103" spans="1:6" ht="14.1" customHeight="1" x14ac:dyDescent="0.25">
      <c r="A103" s="1"/>
      <c r="B103" s="7" t="s">
        <v>42</v>
      </c>
      <c r="C103" s="7" t="s">
        <v>47</v>
      </c>
      <c r="D103" s="7" t="s">
        <v>43</v>
      </c>
      <c r="E103" s="7" t="s">
        <v>48</v>
      </c>
      <c r="F103" s="7" t="s">
        <v>45</v>
      </c>
    </row>
    <row r="104" spans="1:6" ht="14.1" customHeight="1" x14ac:dyDescent="0.25">
      <c r="A104" s="1"/>
      <c r="B104" s="8">
        <v>750</v>
      </c>
      <c r="C104" s="23">
        <f>ROUND('64 Att1Ua'!$C$77+IF(B104&lt;66000,+B104*'64 Att1Ua'!$C$79,IF(B104&gt;=66000,66000*'64 Att1Ua'!$C$82+(B104-66000)*'64 Att1Ua'!$C$80)),2)</f>
        <v>319.56</v>
      </c>
      <c r="D104" s="23">
        <f>ROUND('64 Att1Ua'!$E$77+IF(B104&lt;66000,+B104*'64 Att1Ua'!$E$79,IF(B104&gt;=66000,66000*'64 Att1Ua'!$E$82+(B104-66000)*'64 Att1Ua'!$E$80)),2)</f>
        <v>330.79</v>
      </c>
      <c r="E104" s="9">
        <f t="shared" ref="E104:E107" si="16">+D104-C104</f>
        <v>11.230000000000018</v>
      </c>
      <c r="F104" s="10">
        <f t="shared" ref="F104:F107" si="17">E104/C104</f>
        <v>3.5142070346726804E-2</v>
      </c>
    </row>
    <row r="105" spans="1:6" ht="14.1" customHeight="1" x14ac:dyDescent="0.25">
      <c r="A105" s="1"/>
      <c r="B105" s="8">
        <v>2000</v>
      </c>
      <c r="C105" s="23">
        <f>ROUND('64 Att1Ua'!$C$77+IF(B105&lt;66000,+B105*'64 Att1Ua'!$C$79,IF(B105&gt;=66000,66000*'64 Att1Ua'!$C$82+(B105-66000)*'64 Att1Ua'!$C$80)),2)</f>
        <v>430.76</v>
      </c>
      <c r="D105" s="23">
        <f>ROUND('64 Att1Ua'!$E$77+IF(B105&lt;66000,+B105*'64 Att1Ua'!$E$79,IF(B105&gt;=66000,66000*'64 Att1Ua'!$E$82+(B105-66000)*'64 Att1Ua'!$E$80)),2)</f>
        <v>445.9</v>
      </c>
      <c r="E105" s="9">
        <f t="shared" si="16"/>
        <v>15.139999999999986</v>
      </c>
      <c r="F105" s="10">
        <f t="shared" si="17"/>
        <v>3.5147181725322656E-2</v>
      </c>
    </row>
    <row r="106" spans="1:6" ht="14.1" customHeight="1" x14ac:dyDescent="0.25">
      <c r="A106" s="1"/>
      <c r="B106" s="8">
        <v>5000</v>
      </c>
      <c r="C106" s="23">
        <f>ROUND('64 Att1Ua'!$C$77+IF(B106&lt;66000,+B106*'64 Att1Ua'!$C$79,IF(B106&gt;=66000,66000*'64 Att1Ua'!$C$82+(B106-66000)*'64 Att1Ua'!$C$80)),2)</f>
        <v>697.64</v>
      </c>
      <c r="D106" s="23">
        <f>ROUND('64 Att1Ua'!$E$77+IF(B106&lt;66000,+B106*'64 Att1Ua'!$E$79,IF(B106&gt;=66000,66000*'64 Att1Ua'!$E$82+(B106-66000)*'64 Att1Ua'!$E$80)),2)</f>
        <v>722.17</v>
      </c>
      <c r="E106" s="9">
        <f t="shared" si="16"/>
        <v>24.529999999999973</v>
      </c>
      <c r="F106" s="10">
        <f t="shared" si="17"/>
        <v>3.5161401295797222E-2</v>
      </c>
    </row>
    <row r="107" spans="1:6" ht="14.1" customHeight="1" x14ac:dyDescent="0.25">
      <c r="A107" s="1"/>
      <c r="B107" s="8">
        <v>10000</v>
      </c>
      <c r="C107" s="23">
        <f>ROUND('64 Att1Ua'!$C$77+IF(B107&lt;66000,+B107*'64 Att1Ua'!$C$79,IF(B107&gt;=66000,66000*'64 Att1Ua'!$C$82+(B107-66000)*'64 Att1Ua'!$C$80)),2)</f>
        <v>1142.44</v>
      </c>
      <c r="D107" s="23">
        <f>ROUND('64 Att1Ua'!$E$77+IF(B107&lt;66000,+B107*'64 Att1Ua'!$E$79,IF(B107&gt;=66000,66000*'64 Att1Ua'!$E$82+(B107-66000)*'64 Att1Ua'!$E$80)),2)</f>
        <v>1182.6199999999999</v>
      </c>
      <c r="E107" s="9">
        <f t="shared" si="16"/>
        <v>40.179999999999836</v>
      </c>
      <c r="F107" s="10">
        <f t="shared" si="17"/>
        <v>3.5170337173068028E-2</v>
      </c>
    </row>
    <row r="108" spans="1:6" ht="14.1" customHeight="1" x14ac:dyDescent="0.25">
      <c r="A108" s="1"/>
    </row>
    <row r="109" spans="1:6" ht="14.1" customHeight="1" x14ac:dyDescent="0.25"/>
    <row r="110" spans="1:6" ht="17.25" customHeight="1" x14ac:dyDescent="0.3">
      <c r="B110" s="105" t="s">
        <v>55</v>
      </c>
      <c r="C110" s="105"/>
      <c r="D110" s="105"/>
      <c r="E110" s="105"/>
      <c r="F110" s="105"/>
    </row>
    <row r="111" spans="1:6" ht="17.25" customHeight="1" x14ac:dyDescent="0.3">
      <c r="B111" s="105" t="s">
        <v>33</v>
      </c>
      <c r="C111" s="105"/>
      <c r="D111" s="105"/>
      <c r="E111" s="105"/>
      <c r="F111" s="105"/>
    </row>
    <row r="112" spans="1:6" ht="14.1" customHeight="1" x14ac:dyDescent="0.25"/>
    <row r="113" spans="2:6" ht="14.1" customHeight="1" x14ac:dyDescent="0.25">
      <c r="B113" s="3" t="s">
        <v>74</v>
      </c>
      <c r="C113" s="17">
        <f>'64 Att1Ua'!B167/12</f>
        <v>113.08333333333333</v>
      </c>
    </row>
    <row r="114" spans="2:6" ht="14.1" customHeight="1" x14ac:dyDescent="0.25"/>
    <row r="115" spans="2:6" ht="14.1" customHeight="1" x14ac:dyDescent="0.25">
      <c r="B115" s="5"/>
      <c r="C115" s="6">
        <f>$C$8</f>
        <v>43252</v>
      </c>
      <c r="D115" s="6">
        <f>$D$8</f>
        <v>43617</v>
      </c>
      <c r="E115" s="5" t="s">
        <v>40</v>
      </c>
      <c r="F115" s="5" t="s">
        <v>41</v>
      </c>
    </row>
    <row r="116" spans="2:6" ht="14.1" customHeight="1" x14ac:dyDescent="0.25">
      <c r="B116" s="7" t="s">
        <v>42</v>
      </c>
      <c r="C116" s="7" t="s">
        <v>43</v>
      </c>
      <c r="D116" s="7" t="s">
        <v>43</v>
      </c>
      <c r="E116" s="7" t="s">
        <v>44</v>
      </c>
      <c r="F116" s="7" t="s">
        <v>45</v>
      </c>
    </row>
    <row r="117" spans="2:6" ht="14.1" customHeight="1" x14ac:dyDescent="0.25">
      <c r="B117" s="8">
        <v>750</v>
      </c>
      <c r="C117" s="23">
        <f>ROUND('64 Att1Ua'!$C$167+IF($B117&lt;2000,+$B117*'64 Att1Ua'!$C$169,IF($B117&gt;=2000,2000*'64 Att1Ua'!$C$169+($B117-2000)*'64 Att1Ua'!$C$170)),2)</f>
        <v>87.79</v>
      </c>
      <c r="D117" s="23">
        <f>ROUND('64 Att1Ua'!$E$167+IF($B117&lt;2000,+$B117*'64 Att1Ua'!$E$169,IF($B117&gt;=2000,2000*'64 Att1Ua'!$E$169+($B117-2000)*'64 Att1Ua'!$E$170)),2)</f>
        <v>90.88</v>
      </c>
      <c r="E117" s="9">
        <f t="shared" ref="E117:E120" si="18">+D117-C117</f>
        <v>3.0899999999999892</v>
      </c>
      <c r="F117" s="10">
        <f t="shared" ref="F117:F120" si="19">E117/C117</f>
        <v>3.5197630709647897E-2</v>
      </c>
    </row>
    <row r="118" spans="2:6" ht="14.1" customHeight="1" x14ac:dyDescent="0.25">
      <c r="B118" s="8">
        <v>2000</v>
      </c>
      <c r="C118" s="23">
        <f>ROUND('64 Att1Ua'!$C$167+IF($B118&lt;2000,+$B118*'64 Att1Ua'!$C$169,IF($B118&gt;=2000,2000*'64 Att1Ua'!$C$169+($B118-2000)*'64 Att1Ua'!$C$170)),2)</f>
        <v>198.99</v>
      </c>
      <c r="D118" s="23">
        <f>ROUND('64 Att1Ua'!$E$167+IF($B118&lt;2000,+$B118*'64 Att1Ua'!$E$169,IF($B118&gt;=2000,2000*'64 Att1Ua'!$E$169+($B118-2000)*'64 Att1Ua'!$E$170)),2)</f>
        <v>205.99</v>
      </c>
      <c r="E118" s="9">
        <f t="shared" si="18"/>
        <v>7</v>
      </c>
      <c r="F118" s="10">
        <f t="shared" si="19"/>
        <v>3.5177647117945625E-2</v>
      </c>
    </row>
    <row r="119" spans="2:6" ht="14.1" customHeight="1" x14ac:dyDescent="0.25">
      <c r="B119" s="8">
        <v>5000</v>
      </c>
      <c r="C119" s="23">
        <f>ROUND('64 Att1Ua'!$C$167+IF($B119&lt;2000,+$B119*'64 Att1Ua'!$C$169,IF($B119&gt;=2000,2000*'64 Att1Ua'!$C$169+($B119-2000)*'64 Att1Ua'!$C$170)),2)</f>
        <v>1477.5</v>
      </c>
      <c r="D119" s="23">
        <f>ROUND('64 Att1Ua'!$E$167+IF($B119&lt;2000,+$B119*'64 Att1Ua'!$E$169,IF($B119&gt;=2000,2000*'64 Att1Ua'!$E$169+($B119-2000)*'64 Att1Ua'!$E$170)),2)</f>
        <v>1484.5</v>
      </c>
      <c r="E119" s="9">
        <f t="shared" si="18"/>
        <v>7</v>
      </c>
      <c r="F119" s="10">
        <f t="shared" si="19"/>
        <v>4.7377326565143825E-3</v>
      </c>
    </row>
    <row r="120" spans="2:6" ht="14.1" customHeight="1" x14ac:dyDescent="0.25">
      <c r="B120" s="8">
        <v>10000</v>
      </c>
      <c r="C120" s="23">
        <f>ROUND('64 Att1Ua'!$C$167+IF($B120&lt;2000,+$B120*'64 Att1Ua'!$C$169,IF($B120&gt;=2000,2000*'64 Att1Ua'!$C$169+($B120-2000)*'64 Att1Ua'!$C$170)),2)</f>
        <v>3608.35</v>
      </c>
      <c r="D120" s="23">
        <f>ROUND('64 Att1Ua'!$E$167+IF($B120&lt;2000,+$B120*'64 Att1Ua'!$E$169,IF($B120&gt;=2000,2000*'64 Att1Ua'!$E$169+($B120-2000)*'64 Att1Ua'!$E$170)),2)</f>
        <v>3615.35</v>
      </c>
      <c r="E120" s="9">
        <f t="shared" si="18"/>
        <v>7</v>
      </c>
      <c r="F120" s="10">
        <f t="shared" si="19"/>
        <v>1.9399448501392603E-3</v>
      </c>
    </row>
    <row r="121" spans="2:6" ht="14.1" customHeight="1" x14ac:dyDescent="0.25"/>
    <row r="122" spans="2:6" ht="14.1" customHeight="1" x14ac:dyDescent="0.25"/>
    <row r="123" spans="2:6" ht="18.75" customHeight="1" x14ac:dyDescent="0.3">
      <c r="B123" s="105" t="s">
        <v>55</v>
      </c>
      <c r="C123" s="105"/>
      <c r="D123" s="105"/>
      <c r="E123" s="105"/>
      <c r="F123" s="105"/>
    </row>
    <row r="124" spans="2:6" ht="18.75" customHeight="1" x14ac:dyDescent="0.3">
      <c r="B124" s="105" t="s">
        <v>56</v>
      </c>
      <c r="C124" s="105"/>
      <c r="D124" s="105"/>
      <c r="E124" s="105"/>
      <c r="F124" s="105"/>
    </row>
    <row r="125" spans="2:6" ht="14.1" customHeight="1" x14ac:dyDescent="0.25"/>
    <row r="126" spans="2:6" ht="14.1" customHeight="1" x14ac:dyDescent="0.25">
      <c r="B126" s="3" t="s">
        <v>74</v>
      </c>
      <c r="C126" s="1">
        <f>ROUND(('64 Att1Ua'!B155+'64 Att1Ua'!B161)/12,0)</f>
        <v>67</v>
      </c>
    </row>
    <row r="127" spans="2:6" ht="14.1" customHeight="1" x14ac:dyDescent="0.25"/>
    <row r="128" spans="2:6" ht="14.1" customHeight="1" x14ac:dyDescent="0.25">
      <c r="B128" s="5"/>
      <c r="C128" s="6">
        <f>$C$8</f>
        <v>43252</v>
      </c>
      <c r="D128" s="6">
        <f>$D$8</f>
        <v>43617</v>
      </c>
      <c r="E128" s="5" t="s">
        <v>40</v>
      </c>
      <c r="F128" s="5" t="s">
        <v>41</v>
      </c>
    </row>
    <row r="129" spans="1:6" ht="14.1" customHeight="1" x14ac:dyDescent="0.25">
      <c r="B129" s="7" t="s">
        <v>42</v>
      </c>
      <c r="C129" s="7" t="s">
        <v>43</v>
      </c>
      <c r="D129" s="7" t="s">
        <v>43</v>
      </c>
      <c r="E129" s="7" t="s">
        <v>44</v>
      </c>
      <c r="F129" s="7" t="s">
        <v>45</v>
      </c>
    </row>
    <row r="130" spans="1:6" ht="14.1" customHeight="1" x14ac:dyDescent="0.25">
      <c r="B130" s="8">
        <v>750</v>
      </c>
      <c r="C130" s="27">
        <f>ROUND('64 Att1Ua'!$C$155+$B130*'64 Att1Ua'!$C$156,2)</f>
        <v>1966.44</v>
      </c>
      <c r="D130" s="27">
        <f>ROUND('64 Att1Ua'!$E$155+$B130*'64 Att1Ua'!$E$156,2)</f>
        <v>1967.18</v>
      </c>
      <c r="E130" s="9">
        <f t="shared" ref="E130:E133" si="20">+D130-C130</f>
        <v>0.74000000000000909</v>
      </c>
      <c r="F130" s="10">
        <f t="shared" ref="F130:F133" si="21">E130/C130</f>
        <v>3.7631455828807852E-4</v>
      </c>
    </row>
    <row r="131" spans="1:6" ht="14.1" customHeight="1" x14ac:dyDescent="0.25">
      <c r="B131" s="8">
        <v>2000</v>
      </c>
      <c r="C131" s="27">
        <f>ROUND('64 Att1Ua'!$C$155+$B131*'64 Att1Ua'!$C$156,2)</f>
        <v>5208.71</v>
      </c>
      <c r="D131" s="27">
        <f>ROUND('64 Att1Ua'!$E$155+$B131*'64 Att1Ua'!$E$156,2)</f>
        <v>5209.45</v>
      </c>
      <c r="E131" s="9">
        <f t="shared" si="20"/>
        <v>0.73999999999978172</v>
      </c>
      <c r="F131" s="10">
        <f t="shared" si="21"/>
        <v>1.4206972551740867E-4</v>
      </c>
    </row>
    <row r="132" spans="1:6" ht="14.1" customHeight="1" x14ac:dyDescent="0.25">
      <c r="B132" s="8">
        <v>5000</v>
      </c>
      <c r="C132" s="27">
        <f>ROUND('64 Att1Ua'!$C$155+$B132*'64 Att1Ua'!$C$156,2)</f>
        <v>12990.17</v>
      </c>
      <c r="D132" s="27">
        <f>ROUND('64 Att1Ua'!$E$155+$B132*'64 Att1Ua'!$E$156,2)</f>
        <v>12990.91</v>
      </c>
      <c r="E132" s="9">
        <f t="shared" si="20"/>
        <v>0.73999999999978172</v>
      </c>
      <c r="F132" s="10">
        <f t="shared" si="21"/>
        <v>5.696615209806967E-5</v>
      </c>
    </row>
    <row r="133" spans="1:6" ht="14.1" customHeight="1" x14ac:dyDescent="0.25">
      <c r="B133" s="8">
        <v>10000</v>
      </c>
      <c r="C133" s="27">
        <f>ROUND('64 Att1Ua'!$C$155+$B133*'64 Att1Ua'!$C$156,2)</f>
        <v>25959.27</v>
      </c>
      <c r="D133" s="27">
        <f>ROUND('64 Att1Ua'!$E$155+$B133*'64 Att1Ua'!$E$156,2)</f>
        <v>25960.01</v>
      </c>
      <c r="E133" s="9">
        <f t="shared" si="20"/>
        <v>0.73999999999796273</v>
      </c>
      <c r="F133" s="10">
        <f t="shared" si="21"/>
        <v>2.8506194511554552E-5</v>
      </c>
    </row>
    <row r="134" spans="1:6" ht="14.1" customHeight="1" x14ac:dyDescent="0.25"/>
    <row r="135" spans="1:6" ht="14.1" customHeight="1" x14ac:dyDescent="0.25"/>
    <row r="136" spans="1:6" ht="18.75" customHeight="1" x14ac:dyDescent="0.35">
      <c r="B136" s="106" t="s">
        <v>39</v>
      </c>
      <c r="C136" s="106"/>
      <c r="D136" s="106"/>
      <c r="E136" s="106"/>
      <c r="F136" s="106"/>
    </row>
    <row r="137" spans="1:6" ht="14.1" customHeight="1" x14ac:dyDescent="0.25"/>
    <row r="138" spans="1:6" s="25" customFormat="1" ht="18" customHeight="1" x14ac:dyDescent="0.3">
      <c r="A138" s="24"/>
      <c r="B138" s="105" t="s">
        <v>57</v>
      </c>
      <c r="C138" s="105"/>
      <c r="D138" s="105"/>
      <c r="E138" s="105"/>
      <c r="F138" s="105"/>
    </row>
    <row r="139" spans="1:6" s="25" customFormat="1" ht="18" customHeight="1" x14ac:dyDescent="0.3">
      <c r="A139" s="24"/>
      <c r="B139" s="105" t="s">
        <v>58</v>
      </c>
      <c r="C139" s="105"/>
      <c r="D139" s="105"/>
      <c r="E139" s="105"/>
      <c r="F139" s="105"/>
    </row>
    <row r="140" spans="1:6" ht="14.1" customHeight="1" x14ac:dyDescent="0.25"/>
    <row r="141" spans="1:6" ht="14.1" customHeight="1" x14ac:dyDescent="0.25">
      <c r="B141" s="3" t="s">
        <v>74</v>
      </c>
      <c r="C141" s="17">
        <f>'64 Att1Ua'!B91/12</f>
        <v>2012.5</v>
      </c>
    </row>
    <row r="142" spans="1:6" ht="14.1" customHeight="1" x14ac:dyDescent="0.25"/>
    <row r="143" spans="1:6" ht="14.1" customHeight="1" x14ac:dyDescent="0.25">
      <c r="B143" s="5" t="s">
        <v>52</v>
      </c>
      <c r="C143" s="6">
        <f>$C$8</f>
        <v>43252</v>
      </c>
      <c r="D143" s="6">
        <f>$D$8</f>
        <v>43617</v>
      </c>
      <c r="E143" s="5" t="s">
        <v>40</v>
      </c>
      <c r="F143" s="5" t="s">
        <v>41</v>
      </c>
    </row>
    <row r="144" spans="1:6" ht="14.1" customHeight="1" x14ac:dyDescent="0.25">
      <c r="B144" s="7" t="s">
        <v>53</v>
      </c>
      <c r="C144" s="7" t="s">
        <v>43</v>
      </c>
      <c r="D144" s="7" t="s">
        <v>43</v>
      </c>
      <c r="E144" s="7" t="s">
        <v>44</v>
      </c>
      <c r="F144" s="7" t="s">
        <v>45</v>
      </c>
    </row>
    <row r="145" spans="1:7" ht="14.1" customHeight="1" x14ac:dyDescent="0.25">
      <c r="A145" s="16">
        <f>ROUND(500*730*B145,0)</f>
        <v>91250</v>
      </c>
      <c r="B145" s="26">
        <v>0.25</v>
      </c>
      <c r="C145" s="27">
        <f>ROUND(+'64 Att1Ua'!$C$91+450*'64 Att1Ua'!$C$98+IF($A145&lt;11000,+$A145*'64 Att1Ua'!$C$93,IF($A145&gt;(11000+8500),11000*'64 Att1Ua'!$C$93+8500*'64 Att1Ua'!$C$94+($A145-11000-8500)*'64 Att1Ua'!$C$95,11000*'64 Att1Ua'!$C$93+($A145-11000)*'64 Att1Ua'!$C$94)),0)</f>
        <v>9229</v>
      </c>
      <c r="D145" s="27">
        <f>ROUND(+'64 Att1Ua'!$E$91+450*'64 Att1Ua'!$E$98+IF($A145&lt;11000,+$A145*'64 Att1Ua'!$E$93,IF($A145&gt;(11000+8500),11000*'64 Att1Ua'!$E$93+8500*'64 Att1Ua'!$E$94+($A145-11000-8500)*'64 Att1Ua'!$E$95,11000*'64 Att1Ua'!$E$93+($A145-11000)*'64 Att1Ua'!$E$94)),0)</f>
        <v>9554</v>
      </c>
      <c r="E145" s="33">
        <f t="shared" ref="E145:E148" si="22">+D145-C145</f>
        <v>325</v>
      </c>
      <c r="F145" s="10">
        <f t="shared" ref="F145:F148" si="23">E145/C145</f>
        <v>3.5215082890887421E-2</v>
      </c>
      <c r="G145" s="11"/>
    </row>
    <row r="146" spans="1:7" ht="14.1" customHeight="1" x14ac:dyDescent="0.25">
      <c r="A146" s="16">
        <f t="shared" ref="A146:A148" si="24">ROUND(500*730*B146,0)</f>
        <v>182500</v>
      </c>
      <c r="B146" s="26">
        <v>0.5</v>
      </c>
      <c r="C146" s="27">
        <f>ROUND(+'64 Att1Ua'!$C$91+450*'64 Att1Ua'!$C$98+IF($A146&lt;11000,+$A146*'64 Att1Ua'!$C$93,IF($A146&gt;(11000+8500),11000*'64 Att1Ua'!$C$93+8500*'64 Att1Ua'!$C$94+($A146-11000-8500)*'64 Att1Ua'!$C$95,11000*'64 Att1Ua'!$C$93+($A146-11000)*'64 Att1Ua'!$C$94)),0)</f>
        <v>12977</v>
      </c>
      <c r="D146" s="27">
        <f>ROUND(+'64 Att1Ua'!$E$91+450*'64 Att1Ua'!$E$98+IF($A146&lt;11000,+$A146*'64 Att1Ua'!$E$93,IF($A146&gt;(11000+8500),11000*'64 Att1Ua'!$E$93+8500*'64 Att1Ua'!$E$94+($A146-11000-8500)*'64 Att1Ua'!$E$95,11000*'64 Att1Ua'!$E$93+($A146-11000)*'64 Att1Ua'!$E$94)),0)</f>
        <v>13434</v>
      </c>
      <c r="E146" s="33">
        <f t="shared" si="22"/>
        <v>457</v>
      </c>
      <c r="F146" s="10">
        <f t="shared" si="23"/>
        <v>3.5216151652924403E-2</v>
      </c>
      <c r="G146" s="11"/>
    </row>
    <row r="147" spans="1:7" ht="14.1" customHeight="1" x14ac:dyDescent="0.25">
      <c r="A147" s="16">
        <f t="shared" si="24"/>
        <v>273750</v>
      </c>
      <c r="B147" s="26">
        <v>0.75</v>
      </c>
      <c r="C147" s="27">
        <f>ROUND(+'64 Att1Ua'!$C$91+450*'64 Att1Ua'!$C$98+IF($A147&lt;11000,+$A147*'64 Att1Ua'!$C$93,IF($A147&gt;(11000+8500),11000*'64 Att1Ua'!$C$93+8500*'64 Att1Ua'!$C$94+($A147-11000-8500)*'64 Att1Ua'!$C$95,11000*'64 Att1Ua'!$C$93+($A147-11000)*'64 Att1Ua'!$C$94)),0)</f>
        <v>16726</v>
      </c>
      <c r="D147" s="27">
        <f>ROUND(+'64 Att1Ua'!$E$91+450*'64 Att1Ua'!$E$98+IF($A147&lt;11000,+$A147*'64 Att1Ua'!$E$93,IF($A147&gt;(11000+8500),11000*'64 Att1Ua'!$E$93+8500*'64 Att1Ua'!$E$94+($A147-11000-8500)*'64 Att1Ua'!$E$95,11000*'64 Att1Ua'!$E$93+($A147-11000)*'64 Att1Ua'!$E$94)),0)</f>
        <v>17315</v>
      </c>
      <c r="E147" s="33">
        <f t="shared" si="22"/>
        <v>589</v>
      </c>
      <c r="F147" s="10">
        <f t="shared" si="23"/>
        <v>3.5214635896209497E-2</v>
      </c>
      <c r="G147" s="11"/>
    </row>
    <row r="148" spans="1:7" ht="14.1" customHeight="1" x14ac:dyDescent="0.25">
      <c r="A148" s="16">
        <f t="shared" si="24"/>
        <v>365000</v>
      </c>
      <c r="B148" s="26">
        <v>1</v>
      </c>
      <c r="C148" s="27">
        <f>ROUND(+'64 Att1Ua'!$C$91+450*'64 Att1Ua'!$C$98+IF($A148&lt;11000,+$A148*'64 Att1Ua'!$C$93,IF($A148&gt;(11000+8500),11000*'64 Att1Ua'!$C$93+8500*'64 Att1Ua'!$C$94+($A148-11000-8500)*'64 Att1Ua'!$C$95,11000*'64 Att1Ua'!$C$93+($A148-11000)*'64 Att1Ua'!$C$94)),0)</f>
        <v>20474</v>
      </c>
      <c r="D148" s="27">
        <f>ROUND(+'64 Att1Ua'!$E$91+450*'64 Att1Ua'!$E$98+IF($A148&lt;11000,+$A148*'64 Att1Ua'!$E$93,IF($A148&gt;(11000+8500),11000*'64 Att1Ua'!$E$93+8500*'64 Att1Ua'!$E$94+($A148-11000-8500)*'64 Att1Ua'!$E$95,11000*'64 Att1Ua'!$E$93+($A148-11000)*'64 Att1Ua'!$E$94)),0)</f>
        <v>21196</v>
      </c>
      <c r="E148" s="33">
        <f t="shared" si="22"/>
        <v>722</v>
      </c>
      <c r="F148" s="10">
        <f t="shared" si="23"/>
        <v>3.5264237569600468E-2</v>
      </c>
      <c r="G148" s="11"/>
    </row>
    <row r="149" spans="1:7" ht="14.1" customHeight="1" x14ac:dyDescent="0.25">
      <c r="B149" s="28"/>
    </row>
    <row r="150" spans="1:7" ht="14.1" customHeight="1" x14ac:dyDescent="0.25">
      <c r="F150" s="15"/>
    </row>
    <row r="151" spans="1:7" ht="14.1" customHeight="1" x14ac:dyDescent="0.25"/>
    <row r="152" spans="1:7" s="25" customFormat="1" ht="18" customHeight="1" x14ac:dyDescent="0.3">
      <c r="A152" s="24"/>
      <c r="B152" s="105" t="s">
        <v>57</v>
      </c>
      <c r="C152" s="105"/>
      <c r="D152" s="105"/>
      <c r="E152" s="105"/>
      <c r="F152" s="105"/>
    </row>
    <row r="153" spans="1:7" s="25" customFormat="1" ht="18" customHeight="1" x14ac:dyDescent="0.3">
      <c r="A153" s="24"/>
      <c r="B153" s="105" t="s">
        <v>59</v>
      </c>
      <c r="C153" s="105"/>
      <c r="D153" s="105"/>
      <c r="E153" s="105"/>
      <c r="F153" s="105"/>
    </row>
    <row r="154" spans="1:7" ht="14.1" customHeight="1" x14ac:dyDescent="0.25"/>
    <row r="155" spans="1:7" ht="14.1" customHeight="1" x14ac:dyDescent="0.25">
      <c r="B155" s="3" t="s">
        <v>74</v>
      </c>
      <c r="C155" s="17">
        <f>C141</f>
        <v>2012.5</v>
      </c>
    </row>
    <row r="156" spans="1:7" ht="14.1" customHeight="1" x14ac:dyDescent="0.25"/>
    <row r="157" spans="1:7" ht="14.1" customHeight="1" x14ac:dyDescent="0.25">
      <c r="B157" s="5" t="s">
        <v>52</v>
      </c>
      <c r="C157" s="6">
        <f>$C$8</f>
        <v>43252</v>
      </c>
      <c r="D157" s="6">
        <f>$D$8</f>
        <v>43617</v>
      </c>
      <c r="E157" s="5" t="s">
        <v>40</v>
      </c>
      <c r="F157" s="5" t="s">
        <v>41</v>
      </c>
    </row>
    <row r="158" spans="1:7" ht="14.1" customHeight="1" x14ac:dyDescent="0.25">
      <c r="B158" s="7" t="s">
        <v>53</v>
      </c>
      <c r="C158" s="7" t="s">
        <v>43</v>
      </c>
      <c r="D158" s="7" t="s">
        <v>43</v>
      </c>
      <c r="E158" s="7" t="s">
        <v>44</v>
      </c>
      <c r="F158" s="7" t="s">
        <v>45</v>
      </c>
    </row>
    <row r="159" spans="1:7" ht="14.1" customHeight="1" x14ac:dyDescent="0.25">
      <c r="A159" s="16">
        <f>ROUND(1000*730*B159,0)</f>
        <v>182500</v>
      </c>
      <c r="B159" s="18">
        <v>0.25</v>
      </c>
      <c r="C159" s="27">
        <f>ROUND('64 Att1Ua'!$C$91+950*'64 Att1Ua'!$C$98+IF($A159&lt;11000,+$A159*'64 Att1Ua'!$C$93,IF($A159&gt;(11000+8500),11000*'64 Att1Ua'!$C$93+8500*'64 Att1Ua'!$C$94+($A159-11000-8500)*'64 Att1Ua'!$C$95,11000*'64 Att1Ua'!$C$93+($A159-11000)*'64 Att1Ua'!$C$94)),0)</f>
        <v>18237</v>
      </c>
      <c r="D159" s="27">
        <f>ROUND('64 Att1Ua'!$E$91+950*'64 Att1Ua'!$E$98+IF($A159&lt;11000,+$A159*'64 Att1Ua'!$E$93,IF($A159&gt;(11000+8500),11000*'64 Att1Ua'!$E$93+8500*'64 Att1Ua'!$E$94+($A159-11000-8500)*'64 Att1Ua'!$E$95,11000*'64 Att1Ua'!$E$93+($A159-11000)*'64 Att1Ua'!$E$94)),0)</f>
        <v>18879</v>
      </c>
      <c r="E159" s="33">
        <f t="shared" ref="E159:E162" si="25">+D159-C159</f>
        <v>642</v>
      </c>
      <c r="F159" s="10">
        <f t="shared" ref="F159:F162" si="26">E159/C159</f>
        <v>3.5203158414212864E-2</v>
      </c>
      <c r="G159" s="11"/>
    </row>
    <row r="160" spans="1:7" ht="14.1" customHeight="1" x14ac:dyDescent="0.25">
      <c r="A160" s="16">
        <f t="shared" ref="A160:A162" si="27">ROUND(1000*730*B160,0)</f>
        <v>365000</v>
      </c>
      <c r="B160" s="18">
        <v>0.5</v>
      </c>
      <c r="C160" s="27">
        <f>ROUND('64 Att1Ua'!$C$91+950*'64 Att1Ua'!$C$98+IF($A160&lt;11000,+$A160*'64 Att1Ua'!$C$93,IF($A160&gt;(11000+8500),11000*'64 Att1Ua'!$C$93+8500*'64 Att1Ua'!$C$94+($A160-11000-8500)*'64 Att1Ua'!$C$95,11000*'64 Att1Ua'!$C$93+($A160-11000)*'64 Att1Ua'!$C$94)),0)</f>
        <v>25734</v>
      </c>
      <c r="D160" s="27">
        <f>ROUND('64 Att1Ua'!$E$91+950*'64 Att1Ua'!$E$98+IF($A160&lt;11000,+$A160*'64 Att1Ua'!$E$93,IF($A160&gt;(11000+8500),11000*'64 Att1Ua'!$E$93+8500*'64 Att1Ua'!$E$94+($A160-11000-8500)*'64 Att1Ua'!$E$95,11000*'64 Att1Ua'!$E$93+($A160-11000)*'64 Att1Ua'!$E$94)),0)</f>
        <v>26641</v>
      </c>
      <c r="E160" s="33">
        <f t="shared" si="25"/>
        <v>907</v>
      </c>
      <c r="F160" s="10">
        <f t="shared" si="26"/>
        <v>3.5245200901531049E-2</v>
      </c>
      <c r="G160" s="11"/>
    </row>
    <row r="161" spans="1:7" ht="14.1" customHeight="1" x14ac:dyDescent="0.25">
      <c r="A161" s="16">
        <f t="shared" si="27"/>
        <v>547500</v>
      </c>
      <c r="B161" s="18">
        <v>0.75</v>
      </c>
      <c r="C161" s="27">
        <f>ROUND('64 Att1Ua'!$C$91+950*'64 Att1Ua'!$C$98+IF($A161&lt;11000,+$A161*'64 Att1Ua'!$C$93,IF($A161&gt;(11000+8500),11000*'64 Att1Ua'!$C$93+8500*'64 Att1Ua'!$C$94+($A161-11000-8500)*'64 Att1Ua'!$C$95,11000*'64 Att1Ua'!$C$93+($A161-11000)*'64 Att1Ua'!$C$94)),0)</f>
        <v>33231</v>
      </c>
      <c r="D161" s="27">
        <f>ROUND('64 Att1Ua'!$E$91+950*'64 Att1Ua'!$E$98+IF($A161&lt;11000,+$A161*'64 Att1Ua'!$E$93,IF($A161&gt;(11000+8500),11000*'64 Att1Ua'!$E$93+8500*'64 Att1Ua'!$E$94+($A161-11000-8500)*'64 Att1Ua'!$E$95,11000*'64 Att1Ua'!$E$93+($A161-11000)*'64 Att1Ua'!$E$94)),0)</f>
        <v>34403</v>
      </c>
      <c r="E161" s="33">
        <f t="shared" si="25"/>
        <v>1172</v>
      </c>
      <c r="F161" s="10">
        <f t="shared" si="26"/>
        <v>3.5268273599951855E-2</v>
      </c>
      <c r="G161" s="11"/>
    </row>
    <row r="162" spans="1:7" ht="14.1" customHeight="1" x14ac:dyDescent="0.25">
      <c r="A162" s="16">
        <f t="shared" si="27"/>
        <v>730000</v>
      </c>
      <c r="B162" s="18">
        <v>1</v>
      </c>
      <c r="C162" s="27">
        <f>ROUND('64 Att1Ua'!$C$91+950*'64 Att1Ua'!$C$98+IF($A162&lt;11000,+$A162*'64 Att1Ua'!$C$93,IF($A162&gt;(11000+8500),11000*'64 Att1Ua'!$C$93+8500*'64 Att1Ua'!$C$94+($A162-11000-8500)*'64 Att1Ua'!$C$95,11000*'64 Att1Ua'!$C$93+($A162-11000)*'64 Att1Ua'!$C$94)),0)</f>
        <v>40728</v>
      </c>
      <c r="D162" s="27">
        <f>ROUND('64 Att1Ua'!$E$91+950*'64 Att1Ua'!$E$98+IF($A162&lt;11000,+$A162*'64 Att1Ua'!$E$93,IF($A162&gt;(11000+8500),11000*'64 Att1Ua'!$E$93+8500*'64 Att1Ua'!$E$94+($A162-11000-8500)*'64 Att1Ua'!$E$95,11000*'64 Att1Ua'!$E$93+($A162-11000)*'64 Att1Ua'!$E$94)),0)</f>
        <v>42165</v>
      </c>
      <c r="E162" s="33">
        <f t="shared" si="25"/>
        <v>1437</v>
      </c>
      <c r="F162" s="10">
        <f t="shared" si="26"/>
        <v>3.5282852091926928E-2</v>
      </c>
      <c r="G162" s="11"/>
    </row>
    <row r="163" spans="1:7" ht="14.1" customHeight="1" x14ac:dyDescent="0.25"/>
    <row r="164" spans="1:7" ht="14.1" customHeight="1" x14ac:dyDescent="0.25"/>
    <row r="165" spans="1:7" ht="17.25" customHeight="1" x14ac:dyDescent="0.35">
      <c r="B165" s="106" t="s">
        <v>39</v>
      </c>
      <c r="C165" s="106"/>
      <c r="D165" s="106"/>
      <c r="E165" s="106"/>
      <c r="F165" s="106"/>
    </row>
    <row r="166" spans="1:7" ht="14.1" customHeight="1" x14ac:dyDescent="0.25"/>
    <row r="167" spans="1:7" s="25" customFormat="1" ht="18" customHeight="1" x14ac:dyDescent="0.3">
      <c r="A167" s="24"/>
      <c r="B167" s="105" t="s">
        <v>60</v>
      </c>
      <c r="C167" s="105"/>
      <c r="D167" s="105"/>
      <c r="E167" s="105"/>
      <c r="F167" s="105"/>
    </row>
    <row r="168" spans="1:7" s="25" customFormat="1" ht="18" customHeight="1" x14ac:dyDescent="0.3">
      <c r="A168" s="24"/>
      <c r="B168" s="105" t="s">
        <v>61</v>
      </c>
      <c r="C168" s="105"/>
      <c r="D168" s="105"/>
      <c r="E168" s="105"/>
      <c r="F168" s="105"/>
    </row>
    <row r="169" spans="1:7" ht="14.1" customHeight="1" x14ac:dyDescent="0.25"/>
    <row r="170" spans="1:7" ht="14.1" customHeight="1" x14ac:dyDescent="0.25">
      <c r="B170" s="3" t="s">
        <v>74</v>
      </c>
      <c r="C170" s="17">
        <f>'64 Att1Ua'!B110/12</f>
        <v>334.83333333333331</v>
      </c>
    </row>
    <row r="171" spans="1:7" ht="14.1" customHeight="1" x14ac:dyDescent="0.25"/>
    <row r="172" spans="1:7" ht="14.1" customHeight="1" x14ac:dyDescent="0.25">
      <c r="B172" s="5" t="s">
        <v>52</v>
      </c>
      <c r="C172" s="6">
        <f>$C$8</f>
        <v>43252</v>
      </c>
      <c r="D172" s="6">
        <f>$D$8</f>
        <v>43617</v>
      </c>
      <c r="E172" s="5" t="s">
        <v>40</v>
      </c>
      <c r="F172" s="5" t="s">
        <v>41</v>
      </c>
    </row>
    <row r="173" spans="1:7" ht="14.1" customHeight="1" x14ac:dyDescent="0.25">
      <c r="B173" s="7" t="s">
        <v>53</v>
      </c>
      <c r="C173" s="7" t="s">
        <v>43</v>
      </c>
      <c r="D173" s="7" t="s">
        <v>43</v>
      </c>
      <c r="E173" s="7" t="s">
        <v>44</v>
      </c>
      <c r="F173" s="7" t="s">
        <v>45</v>
      </c>
    </row>
    <row r="174" spans="1:7" ht="14.1" customHeight="1" x14ac:dyDescent="0.25">
      <c r="A174" s="16">
        <f>ROUND(5000*730*B174,0)</f>
        <v>912500</v>
      </c>
      <c r="B174" s="18">
        <v>0.25</v>
      </c>
      <c r="C174" s="27">
        <f>ROUND(5000*'64 Att1Ua'!$C$112+$A174*'64 Att1Ua'!$C$111,0)</f>
        <v>79813</v>
      </c>
      <c r="D174" s="27">
        <f>ROUND(5000*'64 Att1Ua'!$E$112+$A174*'64 Att1Ua'!$E$111,0)</f>
        <v>82604</v>
      </c>
      <c r="E174" s="33">
        <f t="shared" ref="E174:E177" si="28">+D174-C174</f>
        <v>2791</v>
      </c>
      <c r="F174" s="10">
        <f t="shared" ref="F174:F177" si="29">E174/C174</f>
        <v>3.4969240599902272E-2</v>
      </c>
    </row>
    <row r="175" spans="1:7" ht="14.1" customHeight="1" x14ac:dyDescent="0.25">
      <c r="A175" s="16">
        <f t="shared" ref="A175:A177" si="30">ROUND(5000*730*B175,0)</f>
        <v>1825000</v>
      </c>
      <c r="B175" s="18">
        <v>0.5</v>
      </c>
      <c r="C175" s="27">
        <f>ROUND(5000*'64 Att1Ua'!$C$112+$A175*'64 Att1Ua'!$C$111,0)</f>
        <v>115027</v>
      </c>
      <c r="D175" s="27">
        <f>ROUND(5000*'64 Att1Ua'!$E$112+$A175*'64 Att1Ua'!$E$111,0)</f>
        <v>119059</v>
      </c>
      <c r="E175" s="33">
        <f t="shared" si="28"/>
        <v>4032</v>
      </c>
      <c r="F175" s="10">
        <f t="shared" si="29"/>
        <v>3.505263981499996E-2</v>
      </c>
    </row>
    <row r="176" spans="1:7" ht="14.1" customHeight="1" x14ac:dyDescent="0.25">
      <c r="A176" s="16">
        <f t="shared" si="30"/>
        <v>2737500</v>
      </c>
      <c r="B176" s="18">
        <v>0.75</v>
      </c>
      <c r="C176" s="27">
        <f>ROUND(5000*'64 Att1Ua'!$C$112+$A176*'64 Att1Ua'!$C$111,0)</f>
        <v>150240</v>
      </c>
      <c r="D176" s="27">
        <f>ROUND(5000*'64 Att1Ua'!$E$112+$A176*'64 Att1Ua'!$E$111,0)</f>
        <v>155513</v>
      </c>
      <c r="E176" s="33">
        <f t="shared" si="28"/>
        <v>5273</v>
      </c>
      <c r="F176" s="10">
        <f t="shared" si="29"/>
        <v>3.5097177848775293E-2</v>
      </c>
    </row>
    <row r="177" spans="1:6" ht="14.1" customHeight="1" x14ac:dyDescent="0.25">
      <c r="A177" s="16">
        <f t="shared" si="30"/>
        <v>3650000</v>
      </c>
      <c r="B177" s="18">
        <v>1</v>
      </c>
      <c r="C177" s="27">
        <f>ROUND(5000*'64 Att1Ua'!$C$112+$A177*'64 Att1Ua'!$C$111,0)</f>
        <v>185454</v>
      </c>
      <c r="D177" s="27">
        <f>ROUND(5000*'64 Att1Ua'!$E$112+$A177*'64 Att1Ua'!$E$111,0)</f>
        <v>191968</v>
      </c>
      <c r="E177" s="33">
        <f t="shared" si="28"/>
        <v>6514</v>
      </c>
      <c r="F177" s="10">
        <f t="shared" si="29"/>
        <v>3.5124613111607188E-2</v>
      </c>
    </row>
    <row r="178" spans="1:6" ht="14.1" customHeight="1" x14ac:dyDescent="0.25"/>
    <row r="179" spans="1:6" ht="14.1" customHeight="1" x14ac:dyDescent="0.25"/>
    <row r="180" spans="1:6" s="25" customFormat="1" ht="17.25" customHeight="1" x14ac:dyDescent="0.3">
      <c r="A180" s="24"/>
      <c r="B180" s="105" t="s">
        <v>62</v>
      </c>
      <c r="C180" s="105"/>
      <c r="D180" s="105"/>
      <c r="E180" s="105"/>
      <c r="F180" s="105"/>
    </row>
    <row r="181" spans="1:6" s="25" customFormat="1" ht="17.25" customHeight="1" x14ac:dyDescent="0.3">
      <c r="A181" s="24"/>
      <c r="B181" s="105" t="s">
        <v>63</v>
      </c>
      <c r="C181" s="105"/>
      <c r="D181" s="105"/>
      <c r="E181" s="105"/>
      <c r="F181" s="105"/>
    </row>
    <row r="182" spans="1:6" ht="14.1" customHeight="1" x14ac:dyDescent="0.25"/>
    <row r="183" spans="1:6" ht="15.75" customHeight="1" x14ac:dyDescent="0.25">
      <c r="B183" s="3" t="s">
        <v>73</v>
      </c>
      <c r="C183" s="1">
        <f>ROUND('64 Att1Ua'!B125/12,0)</f>
        <v>44</v>
      </c>
    </row>
    <row r="184" spans="1:6" ht="15.75" customHeight="1" x14ac:dyDescent="0.25"/>
    <row r="185" spans="1:6" ht="14.1" customHeight="1" x14ac:dyDescent="0.25">
      <c r="B185" s="5" t="s">
        <v>52</v>
      </c>
      <c r="C185" s="6">
        <f>$C$8</f>
        <v>43252</v>
      </c>
      <c r="D185" s="6">
        <f>$D$8</f>
        <v>43617</v>
      </c>
      <c r="E185" s="5" t="s">
        <v>40</v>
      </c>
      <c r="F185" s="5" t="s">
        <v>41</v>
      </c>
    </row>
    <row r="186" spans="1:6" ht="14.1" customHeight="1" x14ac:dyDescent="0.25">
      <c r="B186" s="7" t="s">
        <v>53</v>
      </c>
      <c r="C186" s="7" t="s">
        <v>43</v>
      </c>
      <c r="D186" s="7" t="s">
        <v>43</v>
      </c>
      <c r="E186" s="7" t="s">
        <v>44</v>
      </c>
      <c r="F186" s="7" t="s">
        <v>45</v>
      </c>
    </row>
    <row r="187" spans="1:6" ht="14.1" customHeight="1" x14ac:dyDescent="0.25">
      <c r="A187" s="16">
        <f>ROUND(10000*730*B187,0)</f>
        <v>1825000</v>
      </c>
      <c r="B187" s="18">
        <v>0.25</v>
      </c>
      <c r="C187" s="27">
        <f>ROUND(10000*'64 Att1Ua'!$C$127+$A187*'64 Att1Ua'!$C$126,0)</f>
        <v>140388</v>
      </c>
      <c r="D187" s="27">
        <f>ROUND(10000*'64 Att1Ua'!$E$127+$A187*'64 Att1Ua'!$E$126,0)</f>
        <v>145369</v>
      </c>
      <c r="E187" s="33">
        <f t="shared" ref="E187:E190" si="31">+D187-C187</f>
        <v>4981</v>
      </c>
      <c r="F187" s="10">
        <f t="shared" ref="F187:F190" si="32">E187/C187</f>
        <v>3.5480240476393997E-2</v>
      </c>
    </row>
    <row r="188" spans="1:6" ht="14.1" customHeight="1" x14ac:dyDescent="0.25">
      <c r="A188" s="16">
        <f t="shared" ref="A188:A190" si="33">ROUND(10000*730*B188,0)</f>
        <v>3650000</v>
      </c>
      <c r="B188" s="18">
        <v>0.5</v>
      </c>
      <c r="C188" s="27">
        <f>ROUND(10000*'64 Att1Ua'!$C$127+$A188*'64 Att1Ua'!$C$126,0)</f>
        <v>205175</v>
      </c>
      <c r="D188" s="27">
        <f>ROUND(10000*'64 Att1Ua'!$E$127+$A188*'64 Att1Ua'!$E$126,0)</f>
        <v>212438</v>
      </c>
      <c r="E188" s="33">
        <f t="shared" si="31"/>
        <v>7263</v>
      </c>
      <c r="F188" s="10">
        <f t="shared" si="32"/>
        <v>3.5399049591811865E-2</v>
      </c>
    </row>
    <row r="189" spans="1:6" ht="14.1" customHeight="1" x14ac:dyDescent="0.25">
      <c r="A189" s="16">
        <f t="shared" si="33"/>
        <v>5475000</v>
      </c>
      <c r="B189" s="18">
        <v>0.75</v>
      </c>
      <c r="C189" s="27">
        <f>ROUND(10000*'64 Att1Ua'!$C$127+$A189*'64 Att1Ua'!$C$126,0)</f>
        <v>269963</v>
      </c>
      <c r="D189" s="27">
        <f>ROUND(10000*'64 Att1Ua'!$E$127+$A189*'64 Att1Ua'!$E$126,0)</f>
        <v>279506</v>
      </c>
      <c r="E189" s="33">
        <f t="shared" si="31"/>
        <v>9543</v>
      </c>
      <c r="F189" s="10">
        <f t="shared" si="32"/>
        <v>3.534928860621641E-2</v>
      </c>
    </row>
    <row r="190" spans="1:6" ht="14.1" customHeight="1" x14ac:dyDescent="0.25">
      <c r="A190" s="16">
        <f t="shared" si="33"/>
        <v>7300000</v>
      </c>
      <c r="B190" s="18">
        <v>1</v>
      </c>
      <c r="C190" s="27">
        <f>ROUND(10000*'64 Att1Ua'!$C$127+$A190*'64 Att1Ua'!$C$126,0)</f>
        <v>334750</v>
      </c>
      <c r="D190" s="27">
        <f>ROUND(10000*'64 Att1Ua'!$E$127+$A190*'64 Att1Ua'!$E$126,0)</f>
        <v>346575</v>
      </c>
      <c r="E190" s="33">
        <f t="shared" si="31"/>
        <v>11825</v>
      </c>
      <c r="F190" s="10">
        <f t="shared" si="32"/>
        <v>3.5324869305451832E-2</v>
      </c>
    </row>
    <row r="191" spans="1:6" ht="14.1" customHeight="1" x14ac:dyDescent="0.25"/>
    <row r="192" spans="1:6" ht="14.1" customHeight="1" x14ac:dyDescent="0.25"/>
    <row r="193" spans="1:6" s="25" customFormat="1" ht="17.25" customHeight="1" x14ac:dyDescent="0.3">
      <c r="A193" s="24"/>
      <c r="B193" s="105" t="s">
        <v>64</v>
      </c>
      <c r="C193" s="105"/>
      <c r="D193" s="105"/>
      <c r="E193" s="105"/>
      <c r="F193" s="105"/>
    </row>
    <row r="194" spans="1:6" s="25" customFormat="1" ht="17.25" customHeight="1" x14ac:dyDescent="0.3">
      <c r="A194" s="24"/>
      <c r="B194" s="105" t="s">
        <v>65</v>
      </c>
      <c r="C194" s="105"/>
      <c r="D194" s="105"/>
      <c r="E194" s="105"/>
      <c r="F194" s="105"/>
    </row>
    <row r="195" spans="1:6" ht="14.1" customHeight="1" x14ac:dyDescent="0.25"/>
    <row r="196" spans="1:6" ht="14.1" customHeight="1" x14ac:dyDescent="0.25">
      <c r="B196" s="3" t="s">
        <v>74</v>
      </c>
      <c r="C196" s="1">
        <f>ROUND('64 Att1Ua'!B141/12,0)</f>
        <v>15</v>
      </c>
    </row>
    <row r="197" spans="1:6" ht="14.1" customHeight="1" x14ac:dyDescent="0.25">
      <c r="B197" s="3"/>
    </row>
    <row r="198" spans="1:6" ht="14.1" customHeight="1" x14ac:dyDescent="0.25">
      <c r="B198" s="5" t="s">
        <v>52</v>
      </c>
      <c r="C198" s="6">
        <f>$C$8</f>
        <v>43252</v>
      </c>
      <c r="D198" s="6">
        <f>$D$8</f>
        <v>43617</v>
      </c>
      <c r="E198" s="5" t="s">
        <v>40</v>
      </c>
      <c r="F198" s="5" t="s">
        <v>41</v>
      </c>
    </row>
    <row r="199" spans="1:6" ht="14.1" customHeight="1" x14ac:dyDescent="0.25">
      <c r="B199" s="7" t="s">
        <v>53</v>
      </c>
      <c r="C199" s="7" t="s">
        <v>43</v>
      </c>
      <c r="D199" s="7" t="s">
        <v>43</v>
      </c>
      <c r="E199" s="7" t="s">
        <v>44</v>
      </c>
      <c r="F199" s="7" t="s">
        <v>45</v>
      </c>
    </row>
    <row r="200" spans="1:6" ht="14.1" customHeight="1" x14ac:dyDescent="0.25">
      <c r="A200" s="16">
        <f>ROUND(50000*730*B200,0)</f>
        <v>9125000</v>
      </c>
      <c r="B200" s="18">
        <v>0.25</v>
      </c>
      <c r="C200" s="27">
        <f>ROUND(50000*'64 Att1Ua'!$C$143+$A200*'64 Att1Ua'!$C$142,0)</f>
        <v>650674</v>
      </c>
      <c r="D200" s="27">
        <f>ROUND(50000*'64 Att1Ua'!$E$143+$A200*'64 Att1Ua'!$E$142,0)</f>
        <v>673715</v>
      </c>
      <c r="E200" s="33">
        <f t="shared" ref="E200:E203" si="34">+D200-C200</f>
        <v>23041</v>
      </c>
      <c r="F200" s="10">
        <f t="shared" ref="F200:F203" si="35">E200/C200</f>
        <v>3.541097385172913E-2</v>
      </c>
    </row>
    <row r="201" spans="1:6" ht="14.1" customHeight="1" x14ac:dyDescent="0.25">
      <c r="A201" s="16">
        <f t="shared" ref="A201:A203" si="36">ROUND(50000*730*B201,0)</f>
        <v>18250000</v>
      </c>
      <c r="B201" s="18">
        <v>0.5</v>
      </c>
      <c r="C201" s="27">
        <f>ROUND(50000*'64 Att1Ua'!$C$143+$A201*'64 Att1Ua'!$C$142,0)</f>
        <v>964848</v>
      </c>
      <c r="D201" s="27">
        <f>ROUND(50000*'64 Att1Ua'!$E$143+$A201*'64 Att1Ua'!$E$142,0)</f>
        <v>998930</v>
      </c>
      <c r="E201" s="33">
        <f t="shared" si="34"/>
        <v>34082</v>
      </c>
      <c r="F201" s="10">
        <f t="shared" si="35"/>
        <v>3.5323698655124955E-2</v>
      </c>
    </row>
    <row r="202" spans="1:6" ht="14.1" customHeight="1" x14ac:dyDescent="0.25">
      <c r="A202" s="16">
        <f t="shared" si="36"/>
        <v>27375000</v>
      </c>
      <c r="B202" s="18">
        <v>0.75</v>
      </c>
      <c r="C202" s="27">
        <f>ROUND(50000*'64 Att1Ua'!$C$143+$A202*'64 Att1Ua'!$C$142,0)</f>
        <v>1279021</v>
      </c>
      <c r="D202" s="27">
        <f>ROUND(50000*'64 Att1Ua'!$E$143+$A202*'64 Att1Ua'!$E$142,0)</f>
        <v>1324145</v>
      </c>
      <c r="E202" s="33">
        <f t="shared" si="34"/>
        <v>45124</v>
      </c>
      <c r="F202" s="10">
        <f t="shared" si="35"/>
        <v>3.5280108770692584E-2</v>
      </c>
    </row>
    <row r="203" spans="1:6" ht="14.1" customHeight="1" x14ac:dyDescent="0.25">
      <c r="A203" s="16">
        <f t="shared" si="36"/>
        <v>36500000</v>
      </c>
      <c r="B203" s="18">
        <v>1</v>
      </c>
      <c r="C203" s="27">
        <f>ROUND(50000*'64 Att1Ua'!$C$143+$A203*'64 Att1Ua'!$C$142,0)</f>
        <v>1593195</v>
      </c>
      <c r="D203" s="27">
        <f>ROUND(50000*'64 Att1Ua'!$E$143+$A203*'64 Att1Ua'!$E$142,0)</f>
        <v>1649360</v>
      </c>
      <c r="E203" s="33">
        <f t="shared" si="34"/>
        <v>56165</v>
      </c>
      <c r="F203" s="10">
        <f t="shared" si="35"/>
        <v>3.5253060673677734E-2</v>
      </c>
    </row>
    <row r="204" spans="1:6" ht="14.1" customHeight="1" x14ac:dyDescent="0.25">
      <c r="B204" s="30"/>
      <c r="C204" s="31"/>
      <c r="D204" s="31"/>
      <c r="E204" s="31"/>
      <c r="F204" s="31"/>
    </row>
    <row r="205" spans="1:6" ht="14.1" customHeight="1" x14ac:dyDescent="0.25">
      <c r="B205" s="29"/>
      <c r="C205" s="32"/>
      <c r="D205" s="32"/>
      <c r="E205" s="32"/>
      <c r="F205" s="32"/>
    </row>
    <row r="206" spans="1:6" ht="22.5" customHeight="1" x14ac:dyDescent="0.35">
      <c r="B206" s="106" t="s">
        <v>39</v>
      </c>
      <c r="C206" s="106"/>
      <c r="D206" s="106"/>
      <c r="E206" s="106"/>
      <c r="F206" s="106"/>
    </row>
    <row r="207" spans="1:6" ht="14.1" customHeight="1" x14ac:dyDescent="0.25"/>
    <row r="208" spans="1:6" s="25" customFormat="1" ht="16.5" customHeight="1" x14ac:dyDescent="0.3">
      <c r="A208" s="24"/>
      <c r="B208" s="105" t="s">
        <v>66</v>
      </c>
      <c r="C208" s="105"/>
      <c r="D208" s="105"/>
      <c r="E208" s="105"/>
      <c r="F208" s="105"/>
    </row>
    <row r="209" spans="1:6" s="25" customFormat="1" ht="16.5" customHeight="1" x14ac:dyDescent="0.3">
      <c r="A209" s="24"/>
      <c r="B209" s="105" t="s">
        <v>54</v>
      </c>
      <c r="C209" s="105"/>
      <c r="D209" s="105"/>
      <c r="E209" s="105"/>
      <c r="F209" s="105"/>
    </row>
    <row r="210" spans="1:6" ht="14.1" customHeight="1" x14ac:dyDescent="0.25"/>
    <row r="211" spans="1:6" ht="14.1" customHeight="1" x14ac:dyDescent="0.25">
      <c r="B211" s="3" t="s">
        <v>74</v>
      </c>
      <c r="C211" s="1">
        <f>ROUND('64 Att1Ua'!B70+'64 Att1Ua'!B69/12,0)</f>
        <v>491</v>
      </c>
    </row>
    <row r="212" spans="1:6" ht="14.1" customHeight="1" x14ac:dyDescent="0.25"/>
    <row r="213" spans="1:6" ht="14.1" customHeight="1" x14ac:dyDescent="0.25">
      <c r="B213" s="5" t="s">
        <v>52</v>
      </c>
      <c r="C213" s="6">
        <f>$C$8</f>
        <v>43252</v>
      </c>
      <c r="D213" s="6">
        <f>$D$8</f>
        <v>43617</v>
      </c>
      <c r="E213" s="5" t="s">
        <v>40</v>
      </c>
      <c r="F213" s="5" t="s">
        <v>41</v>
      </c>
    </row>
    <row r="214" spans="1:6" ht="14.1" customHeight="1" x14ac:dyDescent="0.25">
      <c r="B214" s="7" t="s">
        <v>53</v>
      </c>
      <c r="C214" s="7" t="s">
        <v>43</v>
      </c>
      <c r="D214" s="7" t="s">
        <v>43</v>
      </c>
      <c r="E214" s="7" t="s">
        <v>44</v>
      </c>
      <c r="F214" s="7" t="s">
        <v>45</v>
      </c>
    </row>
    <row r="215" spans="1:6" ht="14.1" customHeight="1" x14ac:dyDescent="0.25">
      <c r="A215" s="16">
        <f>ROUND(100*730*B215,0)</f>
        <v>3650</v>
      </c>
      <c r="B215" s="18">
        <v>0.05</v>
      </c>
      <c r="C215" s="27">
        <f>ROUND('64 Att1Ua'!$C$69+'64 Att1Ua'!$C$70+50*'64 Att1Ua'!$C$72+$A215*'64 Att1Ua'!$C$71,2)</f>
        <v>532.66</v>
      </c>
      <c r="D215" s="27">
        <f>ROUND('64 Att1Ua'!$E$69+'64 Att1Ua'!$E$70+50*'64 Att1Ua'!$E$72+$A215*'64 Att1Ua'!$E$71,2)</f>
        <v>551.42999999999995</v>
      </c>
      <c r="E215" s="33">
        <f t="shared" ref="E215:E218" si="37">+D215-C215</f>
        <v>18.769999999999982</v>
      </c>
      <c r="F215" s="10">
        <f t="shared" ref="F215:F218" si="38">E215/C215</f>
        <v>3.5238238275823196E-2</v>
      </c>
    </row>
    <row r="216" spans="1:6" ht="14.1" customHeight="1" x14ac:dyDescent="0.25">
      <c r="A216" s="16">
        <f>ROUND(100*730*B216,0)</f>
        <v>7300</v>
      </c>
      <c r="B216" s="18">
        <v>0.1</v>
      </c>
      <c r="C216" s="27">
        <f>ROUND('64 Att1Ua'!$C$69+'64 Att1Ua'!$C$70+50*'64 Att1Ua'!$C$72+$A216*'64 Att1Ua'!$C$71,2)</f>
        <v>904.12</v>
      </c>
      <c r="D216" s="27">
        <f>ROUND('64 Att1Ua'!$E$69+'64 Att1Ua'!$E$70+50*'64 Att1Ua'!$E$72+$A216*'64 Att1Ua'!$E$71,2)</f>
        <v>935.99</v>
      </c>
      <c r="E216" s="33">
        <f t="shared" si="37"/>
        <v>31.870000000000005</v>
      </c>
      <c r="F216" s="10">
        <f t="shared" si="38"/>
        <v>3.5249745608989962E-2</v>
      </c>
    </row>
    <row r="217" spans="1:6" ht="14.1" customHeight="1" x14ac:dyDescent="0.25">
      <c r="A217" s="16">
        <f t="shared" ref="A217:A218" si="39">ROUND(100*730*B217,0)</f>
        <v>10950</v>
      </c>
      <c r="B217" s="18">
        <v>0.15</v>
      </c>
      <c r="C217" s="27">
        <f>ROUND('64 Att1Ua'!$C$69+'64 Att1Ua'!$C$70+50*'64 Att1Ua'!$C$72+$A217*'64 Att1Ua'!$C$71,2)</f>
        <v>1275.58</v>
      </c>
      <c r="D217" s="27">
        <f>ROUND('64 Att1Ua'!$E$69+'64 Att1Ua'!$E$70+50*'64 Att1Ua'!$E$72+$A217*'64 Att1Ua'!$E$71,2)</f>
        <v>1320.56</v>
      </c>
      <c r="E217" s="33">
        <f t="shared" si="37"/>
        <v>44.980000000000018</v>
      </c>
      <c r="F217" s="10">
        <f t="shared" si="38"/>
        <v>3.5262390441995028E-2</v>
      </c>
    </row>
    <row r="218" spans="1:6" ht="14.1" customHeight="1" x14ac:dyDescent="0.25">
      <c r="A218" s="16">
        <f t="shared" si="39"/>
        <v>14600</v>
      </c>
      <c r="B218" s="18">
        <v>0.2</v>
      </c>
      <c r="C218" s="27">
        <f>ROUND('64 Att1Ua'!$C$69+'64 Att1Ua'!$C$70+50*'64 Att1Ua'!$C$72+$A218*'64 Att1Ua'!$C$71,2)</f>
        <v>1647.04</v>
      </c>
      <c r="D218" s="27">
        <f>ROUND('64 Att1Ua'!$E$69+'64 Att1Ua'!$E$70+50*'64 Att1Ua'!$E$72+$A218*'64 Att1Ua'!$E$71,2)</f>
        <v>1705.12</v>
      </c>
      <c r="E218" s="33">
        <f t="shared" si="37"/>
        <v>58.079999999999927</v>
      </c>
      <c r="F218" s="10">
        <f t="shared" si="38"/>
        <v>3.5263260151544545E-2</v>
      </c>
    </row>
    <row r="219" spans="1:6" ht="14.1" customHeight="1" x14ac:dyDescent="0.25"/>
    <row r="220" spans="1:6" ht="14.1" customHeight="1" x14ac:dyDescent="0.25"/>
    <row r="221" spans="1:6" ht="14.1" customHeight="1" x14ac:dyDescent="0.25"/>
    <row r="222" spans="1:6" s="25" customFormat="1" ht="16.5" customHeight="1" x14ac:dyDescent="0.3">
      <c r="A222" s="24"/>
      <c r="B222" s="105" t="s">
        <v>67</v>
      </c>
      <c r="C222" s="105"/>
      <c r="D222" s="105"/>
      <c r="E222" s="105"/>
      <c r="F222" s="105"/>
    </row>
    <row r="223" spans="1:6" s="25" customFormat="1" ht="16.5" customHeight="1" x14ac:dyDescent="0.3">
      <c r="A223" s="24"/>
      <c r="B223" s="105" t="s">
        <v>58</v>
      </c>
      <c r="C223" s="105"/>
      <c r="D223" s="105"/>
      <c r="E223" s="105"/>
      <c r="F223" s="105"/>
    </row>
    <row r="224" spans="1:6" ht="14.1" customHeight="1" x14ac:dyDescent="0.25"/>
    <row r="225" spans="1:6" ht="14.1" customHeight="1" x14ac:dyDescent="0.25">
      <c r="B225" s="3" t="s">
        <v>74</v>
      </c>
      <c r="C225" s="1">
        <f>ROUND('64 Att1Ua'!B103/12,0)</f>
        <v>19</v>
      </c>
    </row>
    <row r="226" spans="1:6" ht="14.1" customHeight="1" x14ac:dyDescent="0.25"/>
    <row r="227" spans="1:6" ht="14.1" customHeight="1" x14ac:dyDescent="0.25">
      <c r="B227" s="5" t="s">
        <v>52</v>
      </c>
      <c r="C227" s="6">
        <f>$C$8</f>
        <v>43252</v>
      </c>
      <c r="D227" s="6">
        <f>$D$8</f>
        <v>43617</v>
      </c>
      <c r="E227" s="5" t="s">
        <v>40</v>
      </c>
      <c r="F227" s="5" t="s">
        <v>41</v>
      </c>
    </row>
    <row r="228" spans="1:6" ht="14.1" customHeight="1" x14ac:dyDescent="0.25">
      <c r="B228" s="7" t="s">
        <v>53</v>
      </c>
      <c r="C228" s="7" t="s">
        <v>43</v>
      </c>
      <c r="D228" s="7" t="s">
        <v>43</v>
      </c>
      <c r="E228" s="7" t="s">
        <v>44</v>
      </c>
      <c r="F228" s="7" t="s">
        <v>45</v>
      </c>
    </row>
    <row r="229" spans="1:6" ht="14.1" customHeight="1" x14ac:dyDescent="0.25">
      <c r="A229" s="16">
        <f>ROUND(500*730*B229,0)</f>
        <v>18250</v>
      </c>
      <c r="B229" s="18">
        <f>+B215</f>
        <v>0.05</v>
      </c>
      <c r="C229" s="27">
        <f>ROUND('64 Att1Ua'!$C$103+450*'64 Att1Ua'!$C$105+$A229*'64 Att1Ua'!$C$104,2)</f>
        <v>3072.15</v>
      </c>
      <c r="D229" s="27">
        <f>ROUND('64 Att1Ua'!$E$103+450*'64 Att1Ua'!$E$105+$A229*'64 Att1Ua'!$E$104,2)</f>
        <v>3180.4</v>
      </c>
      <c r="E229" s="33">
        <f t="shared" ref="E229:E232" si="40">+D229-C229</f>
        <v>108.25</v>
      </c>
      <c r="F229" s="10">
        <f t="shared" ref="F229:F232" si="41">E229/C229</f>
        <v>3.523590970492977E-2</v>
      </c>
    </row>
    <row r="230" spans="1:6" ht="14.1" customHeight="1" x14ac:dyDescent="0.25">
      <c r="A230" s="16">
        <f t="shared" ref="A230:A232" si="42">ROUND(500*730*B230,0)</f>
        <v>36500</v>
      </c>
      <c r="B230" s="18">
        <f>+B216</f>
        <v>0.1</v>
      </c>
      <c r="C230" s="27">
        <f>ROUND('64 Att1Ua'!$C$103+450*'64 Att1Ua'!$C$105+$A230*'64 Att1Ua'!$C$104,2)</f>
        <v>4929.46</v>
      </c>
      <c r="D230" s="27">
        <f>ROUND('64 Att1Ua'!$E$103+450*'64 Att1Ua'!$E$105+$A230*'64 Att1Ua'!$E$104,2)</f>
        <v>5103.22</v>
      </c>
      <c r="E230" s="33">
        <f t="shared" si="40"/>
        <v>173.76000000000022</v>
      </c>
      <c r="F230" s="10">
        <f t="shared" si="41"/>
        <v>3.5249297083250544E-2</v>
      </c>
    </row>
    <row r="231" spans="1:6" ht="14.1" customHeight="1" x14ac:dyDescent="0.25">
      <c r="A231" s="16">
        <f t="shared" si="42"/>
        <v>54750</v>
      </c>
      <c r="B231" s="18">
        <f>+B217</f>
        <v>0.15</v>
      </c>
      <c r="C231" s="27">
        <f>ROUND('64 Att1Ua'!$C$103+450*'64 Att1Ua'!$C$105+$A231*'64 Att1Ua'!$C$104,2)</f>
        <v>6786.76</v>
      </c>
      <c r="D231" s="27">
        <f>ROUND('64 Att1Ua'!$E$103+450*'64 Att1Ua'!$E$105+$A231*'64 Att1Ua'!$E$104,2)</f>
        <v>7026.04</v>
      </c>
      <c r="E231" s="33">
        <f t="shared" si="40"/>
        <v>239.27999999999975</v>
      </c>
      <c r="F231" s="10">
        <f t="shared" si="41"/>
        <v>3.5256882518315033E-2</v>
      </c>
    </row>
    <row r="232" spans="1:6" ht="14.1" customHeight="1" x14ac:dyDescent="0.25">
      <c r="A232" s="16">
        <f t="shared" si="42"/>
        <v>73000</v>
      </c>
      <c r="B232" s="18">
        <f>+B218</f>
        <v>0.2</v>
      </c>
      <c r="C232" s="27">
        <f>ROUND('64 Att1Ua'!$C$103+450*'64 Att1Ua'!$C$105+$A232*'64 Att1Ua'!$C$104,2)</f>
        <v>8644.06</v>
      </c>
      <c r="D232" s="27">
        <f>ROUND('64 Att1Ua'!$E$103+450*'64 Att1Ua'!$E$105+$A232*'64 Att1Ua'!$E$104,2)</f>
        <v>8948.86</v>
      </c>
      <c r="E232" s="33">
        <f t="shared" si="40"/>
        <v>304.80000000000109</v>
      </c>
      <c r="F232" s="10">
        <f t="shared" si="41"/>
        <v>3.5261208274815437E-2</v>
      </c>
    </row>
    <row r="233" spans="1:6" ht="14.1" customHeight="1" x14ac:dyDescent="0.25"/>
    <row r="234" spans="1:6" ht="14.1" customHeight="1" x14ac:dyDescent="0.25"/>
    <row r="235" spans="1:6" ht="14.1" customHeight="1" x14ac:dyDescent="0.25"/>
    <row r="236" spans="1:6" ht="14.1" customHeight="1" x14ac:dyDescent="0.25"/>
    <row r="237" spans="1:6" ht="18" customHeight="1" x14ac:dyDescent="0.35">
      <c r="B237" s="106" t="s">
        <v>39</v>
      </c>
      <c r="C237" s="106"/>
      <c r="D237" s="106"/>
      <c r="E237" s="106"/>
      <c r="F237" s="106"/>
    </row>
    <row r="238" spans="1:6" ht="14.1" customHeight="1" x14ac:dyDescent="0.25"/>
    <row r="239" spans="1:6" s="25" customFormat="1" ht="18" customHeight="1" x14ac:dyDescent="0.3">
      <c r="A239" s="24"/>
      <c r="B239" s="105" t="s">
        <v>68</v>
      </c>
      <c r="C239" s="105"/>
      <c r="D239" s="105"/>
      <c r="E239" s="105"/>
      <c r="F239" s="105"/>
    </row>
    <row r="240" spans="1:6" s="25" customFormat="1" ht="18" customHeight="1" x14ac:dyDescent="0.3">
      <c r="A240" s="24"/>
      <c r="B240" s="105" t="s">
        <v>61</v>
      </c>
      <c r="C240" s="105"/>
      <c r="D240" s="105"/>
      <c r="E240" s="105"/>
      <c r="F240" s="105"/>
    </row>
    <row r="241" spans="1:6" ht="14.1" customHeight="1" x14ac:dyDescent="0.25"/>
    <row r="242" spans="1:6" ht="14.1" customHeight="1" x14ac:dyDescent="0.25">
      <c r="B242" s="3" t="s">
        <v>74</v>
      </c>
      <c r="C242" s="1">
        <f>ROUND('64 Att1Ua'!B117/12,0)</f>
        <v>2</v>
      </c>
    </row>
    <row r="243" spans="1:6" ht="14.1" customHeight="1" x14ac:dyDescent="0.25"/>
    <row r="244" spans="1:6" ht="14.1" customHeight="1" x14ac:dyDescent="0.25">
      <c r="B244" s="5" t="s">
        <v>52</v>
      </c>
      <c r="C244" s="6">
        <f>$C$8</f>
        <v>43252</v>
      </c>
      <c r="D244" s="6">
        <f>$D$8</f>
        <v>43617</v>
      </c>
      <c r="E244" s="5" t="s">
        <v>40</v>
      </c>
      <c r="F244" s="5" t="s">
        <v>41</v>
      </c>
    </row>
    <row r="245" spans="1:6" ht="14.1" customHeight="1" x14ac:dyDescent="0.25">
      <c r="B245" s="7" t="s">
        <v>53</v>
      </c>
      <c r="C245" s="7" t="s">
        <v>43</v>
      </c>
      <c r="D245" s="7" t="s">
        <v>43</v>
      </c>
      <c r="E245" s="7" t="s">
        <v>44</v>
      </c>
      <c r="F245" s="7" t="s">
        <v>45</v>
      </c>
    </row>
    <row r="246" spans="1:6" ht="14.1" customHeight="1" x14ac:dyDescent="0.25">
      <c r="A246" s="16">
        <f>ROUND(5000*730*B246,0)</f>
        <v>182500</v>
      </c>
      <c r="B246" s="18">
        <v>0.05</v>
      </c>
      <c r="C246" s="27">
        <f>ROUND(5000*'64 Att1Ua'!$C$119+$A246*'64 Att1Ua'!$C$118,0)</f>
        <v>27584</v>
      </c>
      <c r="D246" s="27">
        <f>ROUND(5000*'64 Att1Ua'!$E$119+$A246*'64 Att1Ua'!$E$118,0)</f>
        <v>28547</v>
      </c>
      <c r="E246" s="33">
        <f t="shared" ref="E246:E249" si="43">+D246-C246</f>
        <v>963</v>
      </c>
      <c r="F246" s="10">
        <f t="shared" ref="F246:F249" si="44">E246/C246</f>
        <v>3.4911542923433875E-2</v>
      </c>
    </row>
    <row r="247" spans="1:6" ht="14.1" customHeight="1" x14ac:dyDescent="0.25">
      <c r="A247" s="16">
        <f t="shared" ref="A247:A249" si="45">ROUND(5000*730*B247,0)</f>
        <v>365000</v>
      </c>
      <c r="B247" s="18">
        <v>0.1</v>
      </c>
      <c r="C247" s="27">
        <f>ROUND(5000*'64 Att1Ua'!$C$119+$A247*'64 Att1Ua'!$C$118,0)</f>
        <v>44018</v>
      </c>
      <c r="D247" s="27">
        <f>ROUND(5000*'64 Att1Ua'!$E$119+$A247*'64 Att1Ua'!$E$118,0)</f>
        <v>45556</v>
      </c>
      <c r="E247" s="33">
        <f t="shared" si="43"/>
        <v>1538</v>
      </c>
      <c r="F247" s="10">
        <f t="shared" si="44"/>
        <v>3.4940251715207413E-2</v>
      </c>
    </row>
    <row r="248" spans="1:6" ht="14.1" customHeight="1" x14ac:dyDescent="0.25">
      <c r="A248" s="16">
        <f t="shared" si="45"/>
        <v>547500</v>
      </c>
      <c r="B248" s="18">
        <v>0.15</v>
      </c>
      <c r="C248" s="27">
        <f>ROUND(5000*'64 Att1Ua'!$C$119+$A248*'64 Att1Ua'!$C$118,0)</f>
        <v>60452</v>
      </c>
      <c r="D248" s="27">
        <f>ROUND(5000*'64 Att1Ua'!$E$119+$A248*'64 Att1Ua'!$E$118,0)</f>
        <v>62565</v>
      </c>
      <c r="E248" s="33">
        <f t="shared" si="43"/>
        <v>2113</v>
      </c>
      <c r="F248" s="10">
        <f t="shared" si="44"/>
        <v>3.4953351419307881E-2</v>
      </c>
    </row>
    <row r="249" spans="1:6" ht="14.1" customHeight="1" x14ac:dyDescent="0.25">
      <c r="A249" s="16">
        <f t="shared" si="45"/>
        <v>730000</v>
      </c>
      <c r="B249" s="18">
        <v>0.2</v>
      </c>
      <c r="C249" s="27">
        <f>ROUND(5000*'64 Att1Ua'!$C$119+$A249*'64 Att1Ua'!$C$118,0)</f>
        <v>76887</v>
      </c>
      <c r="D249" s="27">
        <f>ROUND(5000*'64 Att1Ua'!$E$119+$A249*'64 Att1Ua'!$E$118,0)</f>
        <v>79574</v>
      </c>
      <c r="E249" s="33">
        <f t="shared" si="43"/>
        <v>2687</v>
      </c>
      <c r="F249" s="10">
        <f t="shared" si="44"/>
        <v>3.4947390326062922E-2</v>
      </c>
    </row>
    <row r="250" spans="1:6" ht="14.1" customHeight="1" x14ac:dyDescent="0.25"/>
    <row r="251" spans="1:6" ht="14.1" customHeight="1" x14ac:dyDescent="0.25"/>
    <row r="252" spans="1:6" s="25" customFormat="1" ht="18" customHeight="1" x14ac:dyDescent="0.3">
      <c r="A252" s="24"/>
      <c r="B252" s="105" t="s">
        <v>69</v>
      </c>
      <c r="C252" s="105"/>
      <c r="D252" s="105"/>
      <c r="E252" s="105"/>
      <c r="F252" s="105"/>
    </row>
    <row r="253" spans="1:6" s="25" customFormat="1" ht="18" customHeight="1" x14ac:dyDescent="0.3">
      <c r="A253" s="24"/>
      <c r="B253" s="105" t="s">
        <v>63</v>
      </c>
      <c r="C253" s="105"/>
      <c r="D253" s="105"/>
      <c r="E253" s="105"/>
      <c r="F253" s="105"/>
    </row>
    <row r="254" spans="1:6" ht="14.1" customHeight="1" x14ac:dyDescent="0.25"/>
    <row r="255" spans="1:6" ht="14.1" customHeight="1" x14ac:dyDescent="0.25">
      <c r="B255" s="3" t="s">
        <v>70</v>
      </c>
    </row>
    <row r="256" spans="1:6" ht="14.1" customHeight="1" x14ac:dyDescent="0.25"/>
    <row r="257" spans="1:6" ht="14.1" customHeight="1" x14ac:dyDescent="0.25">
      <c r="B257" s="5" t="s">
        <v>52</v>
      </c>
      <c r="C257" s="6">
        <f>$C$8</f>
        <v>43252</v>
      </c>
      <c r="D257" s="6">
        <f>$D$8</f>
        <v>43617</v>
      </c>
      <c r="E257" s="5" t="s">
        <v>40</v>
      </c>
      <c r="F257" s="5" t="s">
        <v>41</v>
      </c>
    </row>
    <row r="258" spans="1:6" ht="14.1" customHeight="1" x14ac:dyDescent="0.25">
      <c r="B258" s="7" t="s">
        <v>53</v>
      </c>
      <c r="C258" s="7" t="s">
        <v>43</v>
      </c>
      <c r="D258" s="7" t="s">
        <v>43</v>
      </c>
      <c r="E258" s="7" t="s">
        <v>44</v>
      </c>
      <c r="F258" s="7" t="s">
        <v>45</v>
      </c>
    </row>
    <row r="259" spans="1:6" ht="14.1" customHeight="1" x14ac:dyDescent="0.25">
      <c r="A259" s="16">
        <f>ROUND(10000*730*B259,0)</f>
        <v>365000</v>
      </c>
      <c r="B259" s="18">
        <f>+B246</f>
        <v>0.05</v>
      </c>
      <c r="C259" s="27">
        <f>ROUND(10000*'64 Att1Ua'!$C$135+$A259*'64 Att1Ua'!$C$134,0)</f>
        <v>47779</v>
      </c>
      <c r="D259" s="27">
        <f>ROUND(10000*'64 Att1Ua'!$E$135+$A259*'64 Att1Ua'!$E$134,0)</f>
        <v>49476</v>
      </c>
      <c r="E259" s="33">
        <f t="shared" ref="E259:E262" si="46">+D259-C259</f>
        <v>1697</v>
      </c>
      <c r="F259" s="10">
        <f t="shared" ref="F259:F262" si="47">E259/C259</f>
        <v>3.5517696058938029E-2</v>
      </c>
    </row>
    <row r="260" spans="1:6" ht="14.1" customHeight="1" x14ac:dyDescent="0.25">
      <c r="A260" s="16">
        <f t="shared" ref="A260:A262" si="48">ROUND(10000*730*B260,0)</f>
        <v>730000</v>
      </c>
      <c r="B260" s="18">
        <f>+B247</f>
        <v>0.1</v>
      </c>
      <c r="C260" s="27">
        <f>ROUND(10000*'64 Att1Ua'!$C$135+$A260*'64 Att1Ua'!$C$134,0)</f>
        <v>76658</v>
      </c>
      <c r="D260" s="27">
        <f>ROUND(10000*'64 Att1Ua'!$E$135+$A260*'64 Att1Ua'!$E$134,0)</f>
        <v>79377</v>
      </c>
      <c r="E260" s="33">
        <f t="shared" si="46"/>
        <v>2719</v>
      </c>
      <c r="F260" s="10">
        <f t="shared" si="47"/>
        <v>3.5469226956090685E-2</v>
      </c>
    </row>
    <row r="261" spans="1:6" ht="14.1" customHeight="1" x14ac:dyDescent="0.25">
      <c r="A261" s="16">
        <f t="shared" si="48"/>
        <v>1095000</v>
      </c>
      <c r="B261" s="18">
        <f>+B248</f>
        <v>0.15</v>
      </c>
      <c r="C261" s="27">
        <f>ROUND(10000*'64 Att1Ua'!$C$135+$A261*'64 Att1Ua'!$C$134,0)</f>
        <v>105536</v>
      </c>
      <c r="D261" s="27">
        <f>ROUND(10000*'64 Att1Ua'!$E$135+$A261*'64 Att1Ua'!$E$134,0)</f>
        <v>109277</v>
      </c>
      <c r="E261" s="33">
        <f t="shared" si="46"/>
        <v>3741</v>
      </c>
      <c r="F261" s="10">
        <f t="shared" si="47"/>
        <v>3.5447619769557306E-2</v>
      </c>
    </row>
    <row r="262" spans="1:6" ht="14.1" customHeight="1" x14ac:dyDescent="0.25">
      <c r="A262" s="16">
        <f t="shared" si="48"/>
        <v>1460000</v>
      </c>
      <c r="B262" s="18">
        <f>+B249</f>
        <v>0.2</v>
      </c>
      <c r="C262" s="27">
        <f>ROUND(10000*'64 Att1Ua'!$C$135+$A262*'64 Att1Ua'!$C$134,0)</f>
        <v>134415</v>
      </c>
      <c r="D262" s="27">
        <f>ROUND(10000*'64 Att1Ua'!$E$135+$A262*'64 Att1Ua'!$E$134,0)</f>
        <v>139178</v>
      </c>
      <c r="E262" s="33">
        <f t="shared" si="46"/>
        <v>4763</v>
      </c>
      <c r="F262" s="10">
        <f t="shared" si="47"/>
        <v>3.5435033292415284E-2</v>
      </c>
    </row>
    <row r="263" spans="1:6" ht="14.1" customHeight="1" x14ac:dyDescent="0.25"/>
    <row r="264" spans="1:6" ht="14.1" customHeight="1" x14ac:dyDescent="0.25"/>
    <row r="265" spans="1:6" s="25" customFormat="1" ht="17.25" customHeight="1" x14ac:dyDescent="0.3">
      <c r="A265" s="24"/>
      <c r="B265" s="105" t="s">
        <v>71</v>
      </c>
      <c r="C265" s="105"/>
      <c r="D265" s="105"/>
      <c r="E265" s="105"/>
      <c r="F265" s="105"/>
    </row>
    <row r="266" spans="1:6" s="25" customFormat="1" ht="17.25" customHeight="1" x14ac:dyDescent="0.3">
      <c r="A266" s="24"/>
      <c r="B266" s="105" t="s">
        <v>65</v>
      </c>
      <c r="C266" s="105"/>
      <c r="D266" s="105"/>
      <c r="E266" s="105"/>
      <c r="F266" s="105"/>
    </row>
    <row r="267" spans="1:6" ht="14.1" customHeight="1" x14ac:dyDescent="0.25"/>
    <row r="268" spans="1:6" ht="14.1" customHeight="1" x14ac:dyDescent="0.25">
      <c r="B268" s="3" t="s">
        <v>74</v>
      </c>
      <c r="C268" s="1">
        <f>ROUND('64 Att1Ua'!B148/12,0)</f>
        <v>3</v>
      </c>
    </row>
    <row r="269" spans="1:6" ht="14.1" customHeight="1" x14ac:dyDescent="0.25"/>
    <row r="270" spans="1:6" ht="14.1" customHeight="1" x14ac:dyDescent="0.25">
      <c r="B270" s="5" t="s">
        <v>52</v>
      </c>
      <c r="C270" s="6">
        <f>$C$8</f>
        <v>43252</v>
      </c>
      <c r="D270" s="6">
        <f>$D$8</f>
        <v>43617</v>
      </c>
      <c r="E270" s="5" t="s">
        <v>40</v>
      </c>
      <c r="F270" s="5" t="s">
        <v>41</v>
      </c>
    </row>
    <row r="271" spans="1:6" ht="14.1" customHeight="1" x14ac:dyDescent="0.25">
      <c r="B271" s="7" t="s">
        <v>53</v>
      </c>
      <c r="C271" s="7" t="s">
        <v>43</v>
      </c>
      <c r="D271" s="7" t="s">
        <v>43</v>
      </c>
      <c r="E271" s="7" t="s">
        <v>44</v>
      </c>
      <c r="F271" s="7" t="s">
        <v>45</v>
      </c>
    </row>
    <row r="272" spans="1:6" ht="14.1" customHeight="1" x14ac:dyDescent="0.25">
      <c r="A272" s="16">
        <f>ROUND(50000*730*B272,0)</f>
        <v>1825000</v>
      </c>
      <c r="B272" s="18">
        <f>+B259</f>
        <v>0.05</v>
      </c>
      <c r="C272" s="27">
        <f>ROUND(50000*'64 Att1Ua'!$C$150+$A272*'64 Att1Ua'!$C$149,0)</f>
        <v>217825</v>
      </c>
      <c r="D272" s="27">
        <f>ROUND(50000*'64 Att1Ua'!$E$150+$A272*'64 Att1Ua'!$E$149,0)</f>
        <v>225551</v>
      </c>
      <c r="E272" s="33">
        <f t="shared" ref="E272:E275" si="49">+D272-C272</f>
        <v>7726</v>
      </c>
      <c r="F272" s="10">
        <f t="shared" ref="F272:F275" si="50">E272/C272</f>
        <v>3.5468839664868586E-2</v>
      </c>
    </row>
    <row r="273" spans="1:6" ht="14.1" customHeight="1" x14ac:dyDescent="0.25">
      <c r="A273" s="16">
        <f t="shared" ref="A273:A275" si="51">ROUND(50000*730*B273,0)</f>
        <v>3650000</v>
      </c>
      <c r="B273" s="18">
        <f>+B260</f>
        <v>0.1</v>
      </c>
      <c r="C273" s="27">
        <f>ROUND(50000*'64 Att1Ua'!$C$150+$A273*'64 Att1Ua'!$C$149,0)</f>
        <v>351524</v>
      </c>
      <c r="D273" s="27">
        <f>ROUND(50000*'64 Att1Ua'!$E$150+$A273*'64 Att1Ua'!$E$149,0)</f>
        <v>363978</v>
      </c>
      <c r="E273" s="33">
        <f t="shared" si="49"/>
        <v>12454</v>
      </c>
      <c r="F273" s="10">
        <f t="shared" si="50"/>
        <v>3.5428590935469559E-2</v>
      </c>
    </row>
    <row r="274" spans="1:6" ht="14.1" customHeight="1" x14ac:dyDescent="0.25">
      <c r="A274" s="16">
        <f t="shared" si="51"/>
        <v>5475000</v>
      </c>
      <c r="B274" s="18">
        <f>+B261</f>
        <v>0.15</v>
      </c>
      <c r="C274" s="27">
        <f>ROUND(50000*'64 Att1Ua'!$C$150+$A274*'64 Att1Ua'!$C$149,0)</f>
        <v>485224</v>
      </c>
      <c r="D274" s="27">
        <f>ROUND(50000*'64 Att1Ua'!$E$150+$A274*'64 Att1Ua'!$E$149,0)</f>
        <v>502404</v>
      </c>
      <c r="E274" s="33">
        <f t="shared" si="49"/>
        <v>17180</v>
      </c>
      <c r="F274" s="10">
        <f t="shared" si="50"/>
        <v>3.5406327799119584E-2</v>
      </c>
    </row>
    <row r="275" spans="1:6" ht="14.1" customHeight="1" x14ac:dyDescent="0.25">
      <c r="A275" s="16">
        <f t="shared" si="51"/>
        <v>7300000</v>
      </c>
      <c r="B275" s="18">
        <f>+B262</f>
        <v>0.2</v>
      </c>
      <c r="C275" s="27">
        <f>ROUND(50000*'64 Att1Ua'!$C$150+$A275*'64 Att1Ua'!$C$149,0)</f>
        <v>618923</v>
      </c>
      <c r="D275" s="27">
        <f>ROUND(50000*'64 Att1Ua'!$E$150+$A275*'64 Att1Ua'!$E$149,0)</f>
        <v>640830</v>
      </c>
      <c r="E275" s="33">
        <f t="shared" si="49"/>
        <v>21907</v>
      </c>
      <c r="F275" s="10">
        <f t="shared" si="50"/>
        <v>3.5395356126691042E-2</v>
      </c>
    </row>
    <row r="276" spans="1:6" ht="14.1" customHeight="1" x14ac:dyDescent="0.25"/>
    <row r="278" spans="1:6" x14ac:dyDescent="0.25">
      <c r="C278" s="11"/>
      <c r="D278" s="11"/>
      <c r="E278" s="11"/>
    </row>
  </sheetData>
  <mergeCells count="46">
    <mergeCell ref="B252:F252"/>
    <mergeCell ref="B253:F253"/>
    <mergeCell ref="B265:F265"/>
    <mergeCell ref="B266:F266"/>
    <mergeCell ref="B209:F209"/>
    <mergeCell ref="B222:F222"/>
    <mergeCell ref="B223:F223"/>
    <mergeCell ref="B237:F237"/>
    <mergeCell ref="B239:F239"/>
    <mergeCell ref="B240:F240"/>
    <mergeCell ref="B208:F208"/>
    <mergeCell ref="B139:F139"/>
    <mergeCell ref="B152:F152"/>
    <mergeCell ref="B153:F153"/>
    <mergeCell ref="B165:F165"/>
    <mergeCell ref="B167:F167"/>
    <mergeCell ref="B168:F168"/>
    <mergeCell ref="B180:F180"/>
    <mergeCell ref="B181:F181"/>
    <mergeCell ref="B193:F193"/>
    <mergeCell ref="B194:F194"/>
    <mergeCell ref="B206:F206"/>
    <mergeCell ref="B138:F138"/>
    <mergeCell ref="B70:F70"/>
    <mergeCell ref="B82:F82"/>
    <mergeCell ref="B83:F83"/>
    <mergeCell ref="B95:F95"/>
    <mergeCell ref="B97:F97"/>
    <mergeCell ref="B98:F98"/>
    <mergeCell ref="B110:F110"/>
    <mergeCell ref="B111:F111"/>
    <mergeCell ref="B123:F123"/>
    <mergeCell ref="B124:F124"/>
    <mergeCell ref="B136:F136"/>
    <mergeCell ref="B69:F69"/>
    <mergeCell ref="B2:F2"/>
    <mergeCell ref="B4:F4"/>
    <mergeCell ref="B17:F17"/>
    <mergeCell ref="B18:F18"/>
    <mergeCell ref="B30:F30"/>
    <mergeCell ref="B31:F31"/>
    <mergeCell ref="B43:F43"/>
    <mergeCell ref="B44:F44"/>
    <mergeCell ref="B55:F55"/>
    <mergeCell ref="B57:F57"/>
    <mergeCell ref="B58:F58"/>
  </mergeCells>
  <printOptions horizontalCentered="1"/>
  <pageMargins left="0.7" right="0.7" top="0.75" bottom="0.75" header="0.3" footer="0.3"/>
  <pageSetup scale="86" orientation="portrait" r:id="rId1"/>
  <rowBreaks count="6" manualBreakCount="6">
    <brk id="54" max="16383" man="1"/>
    <brk id="94" max="16383" man="1"/>
    <brk id="135" max="16383" man="1"/>
    <brk id="164" max="16383" man="1"/>
    <brk id="205" max="16383" man="1"/>
    <brk id="236" max="16383" man="1"/>
  </rowBreaks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1CC0F58A31E342884B937D94913CE1" ma:contentTypeVersion="1" ma:contentTypeDescription="Create a new document." ma:contentTypeScope="" ma:versionID="9629b649ea0d514bbd082ae469f3993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1710F4-D645-44E9-915C-E03C20062BC0}"/>
</file>

<file path=customXml/itemProps2.xml><?xml version="1.0" encoding="utf-8"?>
<ds:datastoreItem xmlns:ds="http://schemas.openxmlformats.org/officeDocument/2006/customXml" ds:itemID="{F1D1D138-538D-4D93-9B87-BC7415E4CD1B}"/>
</file>

<file path=customXml/itemProps3.xml><?xml version="1.0" encoding="utf-8"?>
<ds:datastoreItem xmlns:ds="http://schemas.openxmlformats.org/officeDocument/2006/customXml" ds:itemID="{056D4174-1062-4398-A896-C274B43464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64 Att1Ua</vt:lpstr>
      <vt:lpstr>64 Att1Ub</vt:lpstr>
      <vt:lpstr>'64 Att1Ub'!Print_Area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2019-04-17T18:43:16Z</dcterms:created>
  <dcterms:modified xsi:type="dcterms:W3CDTF">2019-04-17T18:43:20Z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0x010100761CC0F58A31E342884B937D94913CE1</vt:lpwstr>
  </property>
</Properties>
</file>